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BBBA1B7-7A2B-4430-B27F-E14C34011E2E}" xr6:coauthVersionLast="37" xr6:coauthVersionMax="37" xr10:uidLastSave="{00000000-0000-0000-0000-000000000000}"/>
  <bookViews>
    <workbookView xWindow="0" yWindow="0" windowWidth="24720" windowHeight="11805" tabRatio="500" activeTab="4" xr2:uid="{00000000-000D-0000-FFFF-FFFF00000000}"/>
  </bookViews>
  <sheets>
    <sheet name="SAŽETAK" sheetId="1" r:id="rId1"/>
    <sheet name=" Račun prihoda i rashoda" sheetId="2" r:id="rId2"/>
    <sheet name="Prihodi i rashodi po izvorima" sheetId="3" r:id="rId3"/>
    <sheet name="Rashodi prema funkcijskoj kl" sheetId="4" r:id="rId4"/>
    <sheet name="Posebni dio" sheetId="7" r:id="rId5"/>
    <sheet name="Podaci 5. razina" sheetId="8" state="hidden" r:id="rId6"/>
  </sheets>
  <definedNames>
    <definedName name="_xlnm._FilterDatabase" localSheetId="5" hidden="1">'Podaci 5. razina'!$A$3:$N$140</definedName>
  </definedNames>
  <calcPr calcId="1790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4" i="2" l="1"/>
  <c r="L141" i="8" l="1"/>
  <c r="K141" i="8"/>
  <c r="J141" i="8"/>
  <c r="I140" i="8"/>
  <c r="H140" i="8"/>
  <c r="N139" i="8"/>
  <c r="M139" i="8"/>
  <c r="I139" i="8"/>
  <c r="H139" i="8"/>
  <c r="N138" i="8"/>
  <c r="M138" i="8"/>
  <c r="I138" i="8"/>
  <c r="H138" i="8"/>
  <c r="N137" i="8"/>
  <c r="M137" i="8"/>
  <c r="I137" i="8"/>
  <c r="H137" i="8"/>
  <c r="N136" i="8"/>
  <c r="M136" i="8"/>
  <c r="I136" i="8"/>
  <c r="F77" i="7" s="1"/>
  <c r="F76" i="7" s="1"/>
  <c r="F75" i="7" s="1"/>
  <c r="F74" i="7" s="1"/>
  <c r="H136" i="8"/>
  <c r="N135" i="8"/>
  <c r="M135" i="8"/>
  <c r="I135" i="8"/>
  <c r="H135" i="8"/>
  <c r="N134" i="8"/>
  <c r="M134" i="8"/>
  <c r="I134" i="8"/>
  <c r="H134" i="8"/>
  <c r="N133" i="8"/>
  <c r="M133" i="8"/>
  <c r="I133" i="8"/>
  <c r="F73" i="7" s="1"/>
  <c r="F72" i="7" s="1"/>
  <c r="H133" i="8"/>
  <c r="N132" i="8"/>
  <c r="M132" i="8"/>
  <c r="I132" i="8"/>
  <c r="H132" i="8"/>
  <c r="N131" i="8"/>
  <c r="M131" i="8"/>
  <c r="I131" i="8"/>
  <c r="H131" i="8"/>
  <c r="N130" i="8"/>
  <c r="M130" i="8"/>
  <c r="I130" i="8"/>
  <c r="E69" i="7" s="1"/>
  <c r="H130" i="8"/>
  <c r="N129" i="8"/>
  <c r="M129" i="8"/>
  <c r="I129" i="8"/>
  <c r="H129" i="8"/>
  <c r="N128" i="8"/>
  <c r="M128" i="8"/>
  <c r="I128" i="8"/>
  <c r="H128" i="8"/>
  <c r="N127" i="8"/>
  <c r="M127" i="8"/>
  <c r="I127" i="8"/>
  <c r="H127" i="8"/>
  <c r="N126" i="8"/>
  <c r="M126" i="8"/>
  <c r="I126" i="8"/>
  <c r="H126" i="8"/>
  <c r="N125" i="8"/>
  <c r="M125" i="8"/>
  <c r="I125" i="8"/>
  <c r="H125" i="8"/>
  <c r="N124" i="8"/>
  <c r="M124" i="8"/>
  <c r="I124" i="8"/>
  <c r="F65" i="7" s="1"/>
  <c r="F64" i="7" s="1"/>
  <c r="F63" i="7" s="1"/>
  <c r="H124" i="8"/>
  <c r="N123" i="8"/>
  <c r="M123" i="8"/>
  <c r="I123" i="8"/>
  <c r="H123" i="8"/>
  <c r="N122" i="8"/>
  <c r="M122" i="8"/>
  <c r="I122" i="8"/>
  <c r="H122" i="8"/>
  <c r="N121" i="8"/>
  <c r="M121" i="8"/>
  <c r="I121" i="8"/>
  <c r="H121" i="8"/>
  <c r="N120" i="8"/>
  <c r="M120" i="8"/>
  <c r="I120" i="8"/>
  <c r="H120" i="8"/>
  <c r="N119" i="8"/>
  <c r="M119" i="8"/>
  <c r="I119" i="8"/>
  <c r="H119" i="8"/>
  <c r="N118" i="8"/>
  <c r="M118" i="8"/>
  <c r="I118" i="8"/>
  <c r="F59" i="7" s="1"/>
  <c r="H118" i="8"/>
  <c r="N117" i="8"/>
  <c r="M117" i="8"/>
  <c r="I117" i="8"/>
  <c r="H117" i="8"/>
  <c r="N116" i="8"/>
  <c r="M116" i="8"/>
  <c r="I116" i="8"/>
  <c r="H116" i="8"/>
  <c r="N115" i="8"/>
  <c r="M115" i="8"/>
  <c r="I115" i="8"/>
  <c r="H115" i="8"/>
  <c r="N114" i="8"/>
  <c r="M114" i="8"/>
  <c r="I114" i="8"/>
  <c r="H114" i="8"/>
  <c r="N113" i="8"/>
  <c r="M113" i="8"/>
  <c r="I113" i="8"/>
  <c r="H113" i="8"/>
  <c r="N112" i="8"/>
  <c r="M112" i="8"/>
  <c r="I112" i="8"/>
  <c r="H112" i="8"/>
  <c r="N111" i="8"/>
  <c r="M111" i="8"/>
  <c r="I111" i="8"/>
  <c r="H111" i="8"/>
  <c r="N110" i="8"/>
  <c r="M110" i="8"/>
  <c r="I110" i="8"/>
  <c r="H110" i="8"/>
  <c r="N109" i="8"/>
  <c r="M109" i="8"/>
  <c r="I109" i="8"/>
  <c r="H109" i="8"/>
  <c r="N108" i="8"/>
  <c r="M108" i="8"/>
  <c r="I108" i="8"/>
  <c r="H108" i="8"/>
  <c r="N107" i="8"/>
  <c r="M107" i="8"/>
  <c r="I107" i="8"/>
  <c r="H107" i="8"/>
  <c r="N106" i="8"/>
  <c r="M106" i="8"/>
  <c r="I106" i="8"/>
  <c r="C55" i="7" s="1"/>
  <c r="H106" i="8"/>
  <c r="N105" i="8"/>
  <c r="M105" i="8"/>
  <c r="I105" i="8"/>
  <c r="H105" i="8"/>
  <c r="N104" i="8"/>
  <c r="M104" i="8"/>
  <c r="I104" i="8"/>
  <c r="H104" i="8"/>
  <c r="N103" i="8"/>
  <c r="M103" i="8"/>
  <c r="I103" i="8"/>
  <c r="H103" i="8"/>
  <c r="N102" i="8"/>
  <c r="M102" i="8"/>
  <c r="I102" i="8"/>
  <c r="H102" i="8"/>
  <c r="N101" i="8"/>
  <c r="M101" i="8"/>
  <c r="I101" i="8"/>
  <c r="H101" i="8"/>
  <c r="N100" i="8"/>
  <c r="M100" i="8"/>
  <c r="I100" i="8"/>
  <c r="H100" i="8"/>
  <c r="N99" i="8"/>
  <c r="M99" i="8"/>
  <c r="I99" i="8"/>
  <c r="H99" i="8"/>
  <c r="N98" i="8"/>
  <c r="M98" i="8"/>
  <c r="I98" i="8"/>
  <c r="H98" i="8"/>
  <c r="N97" i="8"/>
  <c r="M97" i="8"/>
  <c r="I97" i="8"/>
  <c r="F52" i="7" s="1"/>
  <c r="H97" i="8"/>
  <c r="N96" i="8"/>
  <c r="M96" i="8"/>
  <c r="I96" i="8"/>
  <c r="H96" i="8"/>
  <c r="N95" i="8"/>
  <c r="M95" i="8"/>
  <c r="I95" i="8"/>
  <c r="H95" i="8"/>
  <c r="N94" i="8"/>
  <c r="M94" i="8"/>
  <c r="I94" i="8"/>
  <c r="F46" i="7" s="1"/>
  <c r="F45" i="7" s="1"/>
  <c r="F44" i="7" s="1"/>
  <c r="H94" i="8"/>
  <c r="N93" i="8"/>
  <c r="M93" i="8"/>
  <c r="I93" i="8"/>
  <c r="H93" i="8"/>
  <c r="N92" i="8"/>
  <c r="M92" i="8"/>
  <c r="I92" i="8"/>
  <c r="H92" i="8"/>
  <c r="N91" i="8"/>
  <c r="M91" i="8"/>
  <c r="I91" i="8"/>
  <c r="C43" i="7" s="1"/>
  <c r="C42" i="7" s="1"/>
  <c r="H91" i="8"/>
  <c r="N90" i="8"/>
  <c r="M90" i="8"/>
  <c r="I90" i="8"/>
  <c r="H90" i="8"/>
  <c r="N89" i="8"/>
  <c r="M89" i="8"/>
  <c r="I89" i="8"/>
  <c r="H89" i="8"/>
  <c r="N88" i="8"/>
  <c r="M88" i="8"/>
  <c r="I88" i="8"/>
  <c r="H88" i="8"/>
  <c r="N87" i="8"/>
  <c r="M87" i="8"/>
  <c r="I87" i="8"/>
  <c r="H87" i="8"/>
  <c r="N86" i="8"/>
  <c r="M86" i="8"/>
  <c r="I86" i="8"/>
  <c r="H86" i="8"/>
  <c r="N85" i="8"/>
  <c r="M85" i="8"/>
  <c r="I85" i="8"/>
  <c r="H85" i="8"/>
  <c r="N84" i="8"/>
  <c r="M84" i="8"/>
  <c r="I84" i="8"/>
  <c r="H84" i="8"/>
  <c r="N83" i="8"/>
  <c r="M83" i="8"/>
  <c r="I83" i="8"/>
  <c r="H83" i="8"/>
  <c r="N82" i="8"/>
  <c r="M82" i="8"/>
  <c r="I82" i="8"/>
  <c r="H82" i="8"/>
  <c r="N81" i="8"/>
  <c r="M81" i="8"/>
  <c r="I81" i="8"/>
  <c r="H81" i="8"/>
  <c r="N80" i="8"/>
  <c r="M80" i="8"/>
  <c r="I80" i="8"/>
  <c r="H80" i="8"/>
  <c r="N79" i="8"/>
  <c r="M79" i="8"/>
  <c r="I79" i="8"/>
  <c r="F40" i="7" s="1"/>
  <c r="H79" i="8"/>
  <c r="N78" i="8"/>
  <c r="M78" i="8"/>
  <c r="I78" i="8"/>
  <c r="H78" i="8"/>
  <c r="N77" i="8"/>
  <c r="M77" i="8"/>
  <c r="I77" i="8"/>
  <c r="H77" i="8"/>
  <c r="N76" i="8"/>
  <c r="M76" i="8"/>
  <c r="I76" i="8"/>
  <c r="H76" i="8"/>
  <c r="N75" i="8"/>
  <c r="M75" i="8"/>
  <c r="I75" i="8"/>
  <c r="H75" i="8"/>
  <c r="N74" i="8"/>
  <c r="M74" i="8"/>
  <c r="I74" i="8"/>
  <c r="H74" i="8"/>
  <c r="N73" i="8"/>
  <c r="M73" i="8"/>
  <c r="I73" i="8"/>
  <c r="H73" i="8"/>
  <c r="N72" i="8"/>
  <c r="M72" i="8"/>
  <c r="I72" i="8"/>
  <c r="H72" i="8"/>
  <c r="N71" i="8"/>
  <c r="M71" i="8"/>
  <c r="I71" i="8"/>
  <c r="H71" i="8"/>
  <c r="N70" i="8"/>
  <c r="M70" i="8"/>
  <c r="I70" i="8"/>
  <c r="E33" i="7" s="1"/>
  <c r="H70" i="8"/>
  <c r="N69" i="8"/>
  <c r="M69" i="8"/>
  <c r="I69" i="8"/>
  <c r="H69" i="8"/>
  <c r="N68" i="8"/>
  <c r="M68" i="8"/>
  <c r="I68" i="8"/>
  <c r="H68" i="8"/>
  <c r="N67" i="8"/>
  <c r="M67" i="8"/>
  <c r="I67" i="8"/>
  <c r="H67" i="8"/>
  <c r="N66" i="8"/>
  <c r="M66" i="8"/>
  <c r="I66" i="8"/>
  <c r="H66" i="8"/>
  <c r="N65" i="8"/>
  <c r="M65" i="8"/>
  <c r="I65" i="8"/>
  <c r="H65" i="8"/>
  <c r="N64" i="8"/>
  <c r="M64" i="8"/>
  <c r="I64" i="8"/>
  <c r="F28" i="7" s="1"/>
  <c r="H64" i="8"/>
  <c r="N63" i="8"/>
  <c r="M63" i="8"/>
  <c r="I63" i="8"/>
  <c r="H63" i="8"/>
  <c r="N62" i="8"/>
  <c r="M62" i="8"/>
  <c r="I62" i="8"/>
  <c r="H62" i="8"/>
  <c r="N61" i="8"/>
  <c r="M61" i="8"/>
  <c r="I61" i="8"/>
  <c r="H61" i="8"/>
  <c r="N60" i="8"/>
  <c r="M60" i="8"/>
  <c r="I60" i="8"/>
  <c r="H60" i="8"/>
  <c r="N59" i="8"/>
  <c r="M59" i="8"/>
  <c r="I59" i="8"/>
  <c r="H59" i="8"/>
  <c r="N58" i="8"/>
  <c r="M58" i="8"/>
  <c r="I58" i="8"/>
  <c r="H58" i="8"/>
  <c r="N57" i="8"/>
  <c r="M57" i="8"/>
  <c r="I57" i="8"/>
  <c r="H57" i="8"/>
  <c r="N56" i="8"/>
  <c r="M56" i="8"/>
  <c r="I56" i="8"/>
  <c r="H56" i="8"/>
  <c r="N55" i="8"/>
  <c r="M55" i="8"/>
  <c r="I55" i="8"/>
  <c r="D26" i="7" s="1"/>
  <c r="H55" i="8"/>
  <c r="N54" i="8"/>
  <c r="M54" i="8"/>
  <c r="I54" i="8"/>
  <c r="H54" i="8"/>
  <c r="N53" i="8"/>
  <c r="M53" i="8"/>
  <c r="I53" i="8"/>
  <c r="H53" i="8"/>
  <c r="N52" i="8"/>
  <c r="M52" i="8"/>
  <c r="I52" i="8"/>
  <c r="H52" i="8"/>
  <c r="N51" i="8"/>
  <c r="M51" i="8"/>
  <c r="I51" i="8"/>
  <c r="H51" i="8"/>
  <c r="N50" i="8"/>
  <c r="M50" i="8"/>
  <c r="I50" i="8"/>
  <c r="H50" i="8"/>
  <c r="N49" i="8"/>
  <c r="M49" i="8"/>
  <c r="I49" i="8"/>
  <c r="H49" i="8"/>
  <c r="N48" i="8"/>
  <c r="M48" i="8"/>
  <c r="I48" i="8"/>
  <c r="H48" i="8"/>
  <c r="N47" i="8"/>
  <c r="M47" i="8"/>
  <c r="I47" i="8"/>
  <c r="H47" i="8"/>
  <c r="N46" i="8"/>
  <c r="M46" i="8"/>
  <c r="I46" i="8"/>
  <c r="H46" i="8"/>
  <c r="N45" i="8"/>
  <c r="M45" i="8"/>
  <c r="I45" i="8"/>
  <c r="H45" i="8"/>
  <c r="N44" i="8"/>
  <c r="M44" i="8"/>
  <c r="I44" i="8"/>
  <c r="H44" i="8"/>
  <c r="N43" i="8"/>
  <c r="M43" i="8"/>
  <c r="I43" i="8"/>
  <c r="E21" i="7" s="1"/>
  <c r="H43" i="8"/>
  <c r="N42" i="8"/>
  <c r="M42" i="8"/>
  <c r="I42" i="8"/>
  <c r="H42" i="8"/>
  <c r="N41" i="8"/>
  <c r="M41" i="8"/>
  <c r="I41" i="8"/>
  <c r="H41" i="8"/>
  <c r="N40" i="8"/>
  <c r="M40" i="8"/>
  <c r="I40" i="8"/>
  <c r="H40" i="8"/>
  <c r="N39" i="8"/>
  <c r="M39" i="8"/>
  <c r="I39" i="8"/>
  <c r="H39" i="8"/>
  <c r="N38" i="8"/>
  <c r="M38" i="8"/>
  <c r="I38" i="8"/>
  <c r="H38" i="8"/>
  <c r="N37" i="8"/>
  <c r="M37" i="8"/>
  <c r="I37" i="8"/>
  <c r="F17" i="7" s="1"/>
  <c r="F16" i="7" s="1"/>
  <c r="H37" i="8"/>
  <c r="N36" i="8"/>
  <c r="M36" i="8"/>
  <c r="I36" i="8"/>
  <c r="H36" i="8"/>
  <c r="N35" i="8"/>
  <c r="M35" i="8"/>
  <c r="I35" i="8"/>
  <c r="H35" i="8"/>
  <c r="N34" i="8"/>
  <c r="M34" i="8"/>
  <c r="I34" i="8"/>
  <c r="H34" i="8"/>
  <c r="N33" i="8"/>
  <c r="M33" i="8"/>
  <c r="I33" i="8"/>
  <c r="H33" i="8"/>
  <c r="N32" i="8"/>
  <c r="M32" i="8"/>
  <c r="I32" i="8"/>
  <c r="H32" i="8"/>
  <c r="N31" i="8"/>
  <c r="M31" i="8"/>
  <c r="I31" i="8"/>
  <c r="H31" i="8"/>
  <c r="N30" i="8"/>
  <c r="M30" i="8"/>
  <c r="I30" i="8"/>
  <c r="H30" i="8"/>
  <c r="N29" i="8"/>
  <c r="M29" i="8"/>
  <c r="I29" i="8"/>
  <c r="H29" i="8"/>
  <c r="N28" i="8"/>
  <c r="M28" i="8"/>
  <c r="I28" i="8"/>
  <c r="H28" i="8"/>
  <c r="N27" i="8"/>
  <c r="M27" i="8"/>
  <c r="I27" i="8"/>
  <c r="H27" i="8"/>
  <c r="N26" i="8"/>
  <c r="M26" i="8"/>
  <c r="I26" i="8"/>
  <c r="H26" i="8"/>
  <c r="N25" i="8"/>
  <c r="M25" i="8"/>
  <c r="I25" i="8"/>
  <c r="H25" i="8"/>
  <c r="N24" i="8"/>
  <c r="M24" i="8"/>
  <c r="I24" i="8"/>
  <c r="H24" i="8"/>
  <c r="N23" i="8"/>
  <c r="M23" i="8"/>
  <c r="I23" i="8"/>
  <c r="H23" i="8"/>
  <c r="N22" i="8"/>
  <c r="M22" i="8"/>
  <c r="I22" i="8"/>
  <c r="H22" i="8"/>
  <c r="N21" i="8"/>
  <c r="M21" i="8"/>
  <c r="I21" i="8"/>
  <c r="H21" i="8"/>
  <c r="N20" i="8"/>
  <c r="M20" i="8"/>
  <c r="I20" i="8"/>
  <c r="H20" i="8"/>
  <c r="N19" i="8"/>
  <c r="M19" i="8"/>
  <c r="I19" i="8"/>
  <c r="H19" i="8"/>
  <c r="N18" i="8"/>
  <c r="M18" i="8"/>
  <c r="I18" i="8"/>
  <c r="H18" i="8"/>
  <c r="N17" i="8"/>
  <c r="M17" i="8"/>
  <c r="I17" i="8"/>
  <c r="H17" i="8"/>
  <c r="N16" i="8"/>
  <c r="M16" i="8"/>
  <c r="I16" i="8"/>
  <c r="H16" i="8"/>
  <c r="N15" i="8"/>
  <c r="M15" i="8"/>
  <c r="I15" i="8"/>
  <c r="H15" i="8"/>
  <c r="N14" i="8"/>
  <c r="M14" i="8"/>
  <c r="I14" i="8"/>
  <c r="H14" i="8"/>
  <c r="N13" i="8"/>
  <c r="M13" i="8"/>
  <c r="I13" i="8"/>
  <c r="H13" i="8"/>
  <c r="N12" i="8"/>
  <c r="M12" i="8"/>
  <c r="I12" i="8"/>
  <c r="H12" i="8"/>
  <c r="N11" i="8"/>
  <c r="M11" i="8"/>
  <c r="I11" i="8"/>
  <c r="H11" i="8"/>
  <c r="N10" i="8"/>
  <c r="M10" i="8"/>
  <c r="I10" i="8"/>
  <c r="H10" i="8"/>
  <c r="N9" i="8"/>
  <c r="M9" i="8"/>
  <c r="I9" i="8"/>
  <c r="H9" i="8"/>
  <c r="N8" i="8"/>
  <c r="M8" i="8"/>
  <c r="I8" i="8"/>
  <c r="H8" i="8"/>
  <c r="N7" i="8"/>
  <c r="M7" i="8"/>
  <c r="I7" i="8"/>
  <c r="H7" i="8"/>
  <c r="N6" i="8"/>
  <c r="M6" i="8"/>
  <c r="I6" i="8"/>
  <c r="H6" i="8"/>
  <c r="N5" i="8"/>
  <c r="M5" i="8"/>
  <c r="I5" i="8"/>
  <c r="H5" i="8"/>
  <c r="N4" i="8"/>
  <c r="N141" i="8" s="1"/>
  <c r="M4" i="8"/>
  <c r="M141" i="8" s="1"/>
  <c r="I4" i="8"/>
  <c r="D14" i="7" s="1"/>
  <c r="H4" i="8"/>
  <c r="F80" i="7"/>
  <c r="E80" i="7"/>
  <c r="E79" i="7" s="1"/>
  <c r="E78" i="7" s="1"/>
  <c r="D80" i="7"/>
  <c r="D79" i="7" s="1"/>
  <c r="D78" i="7" s="1"/>
  <c r="C80" i="7"/>
  <c r="C79" i="7" s="1"/>
  <c r="C78" i="7" s="1"/>
  <c r="B80" i="7"/>
  <c r="F79" i="7"/>
  <c r="F78" i="7" s="1"/>
  <c r="B79" i="7"/>
  <c r="B78" i="7"/>
  <c r="D77" i="7"/>
  <c r="D76" i="7" s="1"/>
  <c r="D75" i="7" s="1"/>
  <c r="D74" i="7" s="1"/>
  <c r="C70" i="7"/>
  <c r="D65" i="7"/>
  <c r="D64" i="7" s="1"/>
  <c r="D63" i="7" s="1"/>
  <c r="F62" i="7"/>
  <c r="F61" i="7" s="1"/>
  <c r="F60" i="7" s="1"/>
  <c r="E62" i="7"/>
  <c r="E61" i="7" s="1"/>
  <c r="E60" i="7" s="1"/>
  <c r="D62" i="7"/>
  <c r="C62" i="7"/>
  <c r="B62" i="7"/>
  <c r="D61" i="7"/>
  <c r="C61" i="7"/>
  <c r="C60" i="7" s="1"/>
  <c r="B61" i="7"/>
  <c r="B60" i="7" s="1"/>
  <c r="D60" i="7"/>
  <c r="C58" i="7"/>
  <c r="F55" i="7"/>
  <c r="B51" i="7"/>
  <c r="F48" i="7"/>
  <c r="F47" i="7" s="1"/>
  <c r="E48" i="7"/>
  <c r="E47" i="7" s="1"/>
  <c r="D48" i="7"/>
  <c r="D47" i="7" s="1"/>
  <c r="C48" i="7"/>
  <c r="B48" i="7"/>
  <c r="C47" i="7"/>
  <c r="B47" i="7"/>
  <c r="C46" i="7"/>
  <c r="C45" i="7" s="1"/>
  <c r="C44" i="7" s="1"/>
  <c r="F43" i="7"/>
  <c r="F42" i="7" s="1"/>
  <c r="D41" i="7"/>
  <c r="B39" i="7"/>
  <c r="F36" i="7"/>
  <c r="E36" i="7"/>
  <c r="E34" i="7" s="1"/>
  <c r="D36" i="7"/>
  <c r="D34" i="7" s="1"/>
  <c r="C36" i="7"/>
  <c r="B36" i="7"/>
  <c r="F35" i="7"/>
  <c r="E35" i="7"/>
  <c r="D35" i="7"/>
  <c r="C35" i="7"/>
  <c r="B35" i="7"/>
  <c r="F34" i="7"/>
  <c r="C34" i="7"/>
  <c r="B34" i="7"/>
  <c r="F31" i="7"/>
  <c r="D29" i="7"/>
  <c r="D17" i="7"/>
  <c r="D16" i="7" s="1"/>
  <c r="B15" i="7"/>
  <c r="F43" i="3"/>
  <c r="E43" i="3"/>
  <c r="D43" i="3"/>
  <c r="C43" i="3"/>
  <c r="B43" i="3"/>
  <c r="F42" i="3"/>
  <c r="E42" i="3"/>
  <c r="D42" i="3"/>
  <c r="C42" i="3"/>
  <c r="B42" i="3"/>
  <c r="F41" i="3"/>
  <c r="E41" i="3"/>
  <c r="D41" i="3"/>
  <c r="C41" i="3"/>
  <c r="B41" i="3"/>
  <c r="F40" i="3"/>
  <c r="E40" i="3"/>
  <c r="E38" i="3" s="1"/>
  <c r="D40" i="3"/>
  <c r="D38" i="3" s="1"/>
  <c r="C40" i="3"/>
  <c r="C38" i="3" s="1"/>
  <c r="B40" i="3"/>
  <c r="B38" i="3" s="1"/>
  <c r="F39" i="3"/>
  <c r="F38" i="3" s="1"/>
  <c r="E39" i="3"/>
  <c r="D39" i="3"/>
  <c r="C39" i="3"/>
  <c r="B39" i="3"/>
  <c r="F37" i="3"/>
  <c r="E37" i="3"/>
  <c r="D37" i="3"/>
  <c r="C37" i="3"/>
  <c r="B37" i="3"/>
  <c r="F36" i="3"/>
  <c r="E36" i="3"/>
  <c r="D36" i="3"/>
  <c r="C36" i="3"/>
  <c r="B36" i="3"/>
  <c r="F35" i="3"/>
  <c r="E35" i="3"/>
  <c r="D35" i="3"/>
  <c r="C35" i="3"/>
  <c r="B35" i="3"/>
  <c r="F34" i="3"/>
  <c r="E34" i="3"/>
  <c r="D34" i="3"/>
  <c r="C34" i="3"/>
  <c r="B34" i="3"/>
  <c r="F33" i="3"/>
  <c r="E33" i="3"/>
  <c r="D33" i="3"/>
  <c r="C33" i="3"/>
  <c r="B33" i="3"/>
  <c r="F32" i="3"/>
  <c r="E32" i="3"/>
  <c r="D32" i="3"/>
  <c r="C32" i="3"/>
  <c r="B32" i="3"/>
  <c r="F31" i="3"/>
  <c r="E31" i="3"/>
  <c r="D31" i="3"/>
  <c r="C31" i="3"/>
  <c r="B31" i="3"/>
  <c r="F30" i="3"/>
  <c r="E30" i="3"/>
  <c r="D30" i="3"/>
  <c r="C30" i="3"/>
  <c r="B30" i="3"/>
  <c r="F29" i="3"/>
  <c r="E29" i="3"/>
  <c r="D29" i="3"/>
  <c r="C29" i="3"/>
  <c r="B29" i="3"/>
  <c r="F28" i="3"/>
  <c r="F27" i="3" s="1"/>
  <c r="E28" i="3"/>
  <c r="E27" i="3" s="1"/>
  <c r="D28" i="3"/>
  <c r="D27" i="3" s="1"/>
  <c r="D26" i="3" s="1"/>
  <c r="C28" i="3"/>
  <c r="C27" i="3" s="1"/>
  <c r="B28" i="3"/>
  <c r="B27" i="3" s="1"/>
  <c r="F20" i="3"/>
  <c r="E20" i="3"/>
  <c r="D20" i="3"/>
  <c r="C20" i="3"/>
  <c r="F19" i="3"/>
  <c r="E19" i="3"/>
  <c r="D19" i="3"/>
  <c r="C19" i="3"/>
  <c r="F18" i="3"/>
  <c r="E18" i="3"/>
  <c r="D18" i="3"/>
  <c r="C18" i="3"/>
  <c r="F17" i="3"/>
  <c r="E17" i="3"/>
  <c r="D17" i="3"/>
  <c r="C17" i="3"/>
  <c r="F16" i="3"/>
  <c r="E16" i="3"/>
  <c r="D16" i="3"/>
  <c r="C16" i="3"/>
  <c r="F15" i="3"/>
  <c r="E15" i="3"/>
  <c r="D15" i="3"/>
  <c r="C15" i="3"/>
  <c r="C12" i="3" s="1"/>
  <c r="C11" i="3" s="1"/>
  <c r="F14" i="3"/>
  <c r="E14" i="3"/>
  <c r="D14" i="3"/>
  <c r="D12" i="3" s="1"/>
  <c r="D11" i="3" s="1"/>
  <c r="C14" i="3"/>
  <c r="F13" i="3"/>
  <c r="F12" i="3" s="1"/>
  <c r="F11" i="3" s="1"/>
  <c r="E13" i="3"/>
  <c r="E12" i="3" s="1"/>
  <c r="E11" i="3" s="1"/>
  <c r="D13" i="3"/>
  <c r="C13" i="3"/>
  <c r="B12" i="3"/>
  <c r="B11" i="3" s="1"/>
  <c r="H30" i="2"/>
  <c r="H28" i="2"/>
  <c r="G28" i="2"/>
  <c r="F28" i="2"/>
  <c r="F26" i="2"/>
  <c r="E26" i="2"/>
  <c r="D26" i="2"/>
  <c r="F19" i="2"/>
  <c r="E19" i="2"/>
  <c r="D19" i="2"/>
  <c r="G18" i="2"/>
  <c r="G17" i="2" s="1"/>
  <c r="I10" i="1" s="1"/>
  <c r="F17" i="2"/>
  <c r="E17" i="2"/>
  <c r="D17" i="2"/>
  <c r="G16" i="2"/>
  <c r="H16" i="2" s="1"/>
  <c r="G15" i="2"/>
  <c r="H15" i="2" s="1"/>
  <c r="G14" i="2"/>
  <c r="H14" i="2" s="1"/>
  <c r="H13" i="2"/>
  <c r="G13" i="2"/>
  <c r="H12" i="2"/>
  <c r="H11" i="2" s="1"/>
  <c r="G12" i="2"/>
  <c r="G11" i="2" s="1"/>
  <c r="F11" i="2"/>
  <c r="E11" i="2"/>
  <c r="G9" i="1" s="1"/>
  <c r="G8" i="1" s="1"/>
  <c r="D11" i="2"/>
  <c r="F9" i="1" s="1"/>
  <c r="F8" i="1" s="1"/>
  <c r="H10" i="1"/>
  <c r="H8" i="1" s="1"/>
  <c r="G10" i="1"/>
  <c r="F10" i="1"/>
  <c r="H9" i="1"/>
  <c r="E26" i="3" l="1"/>
  <c r="E45" i="3" s="1"/>
  <c r="F26" i="3"/>
  <c r="I9" i="1"/>
  <c r="I8" i="1" s="1"/>
  <c r="G19" i="2"/>
  <c r="D45" i="3"/>
  <c r="B26" i="3"/>
  <c r="B45" i="3" s="1"/>
  <c r="J9" i="1"/>
  <c r="F45" i="3"/>
  <c r="C26" i="3"/>
  <c r="C45" i="3" s="1"/>
  <c r="E14" i="7"/>
  <c r="B17" i="7"/>
  <c r="B16" i="7" s="1"/>
  <c r="F21" i="7"/>
  <c r="E26" i="7"/>
  <c r="B29" i="7"/>
  <c r="D31" i="7"/>
  <c r="F33" i="7"/>
  <c r="B41" i="7"/>
  <c r="D43" i="7"/>
  <c r="D42" i="7" s="1"/>
  <c r="D55" i="7"/>
  <c r="B65" i="7"/>
  <c r="B64" i="7" s="1"/>
  <c r="B63" i="7" s="1"/>
  <c r="F69" i="7"/>
  <c r="B77" i="7"/>
  <c r="B76" i="7" s="1"/>
  <c r="B75" i="7" s="1"/>
  <c r="B74" i="7" s="1"/>
  <c r="F14" i="7"/>
  <c r="C17" i="7"/>
  <c r="C16" i="7" s="1"/>
  <c r="F26" i="7"/>
  <c r="C29" i="7"/>
  <c r="E31" i="7"/>
  <c r="C41" i="7"/>
  <c r="E43" i="7"/>
  <c r="E42" i="7" s="1"/>
  <c r="B46" i="7"/>
  <c r="B45" i="7" s="1"/>
  <c r="B44" i="7" s="1"/>
  <c r="E55" i="7"/>
  <c r="B58" i="7"/>
  <c r="C65" i="7"/>
  <c r="C64" i="7" s="1"/>
  <c r="C63" i="7" s="1"/>
  <c r="B70" i="7"/>
  <c r="C77" i="7"/>
  <c r="C76" i="7" s="1"/>
  <c r="C75" i="7" s="1"/>
  <c r="C74" i="7" s="1"/>
  <c r="C15" i="7"/>
  <c r="E17" i="7"/>
  <c r="E16" i="7" s="1"/>
  <c r="B20" i="7"/>
  <c r="E29" i="7"/>
  <c r="B32" i="7"/>
  <c r="C39" i="7"/>
  <c r="E41" i="7"/>
  <c r="D46" i="7"/>
  <c r="D45" i="7" s="1"/>
  <c r="D44" i="7" s="1"/>
  <c r="C51" i="7"/>
  <c r="B56" i="7"/>
  <c r="D58" i="7"/>
  <c r="E65" i="7"/>
  <c r="E64" i="7" s="1"/>
  <c r="E63" i="7" s="1"/>
  <c r="B68" i="7"/>
  <c r="D70" i="7"/>
  <c r="E77" i="7"/>
  <c r="E76" i="7" s="1"/>
  <c r="E75" i="7" s="1"/>
  <c r="E74" i="7" s="1"/>
  <c r="D15" i="7"/>
  <c r="D13" i="7" s="1"/>
  <c r="D12" i="7" s="1"/>
  <c r="C20" i="7"/>
  <c r="B25" i="7"/>
  <c r="F29" i="7"/>
  <c r="F27" i="7" s="1"/>
  <c r="C32" i="7"/>
  <c r="D39" i="7"/>
  <c r="F41" i="7"/>
  <c r="E46" i="7"/>
  <c r="E45" i="7" s="1"/>
  <c r="E44" i="7" s="1"/>
  <c r="D51" i="7"/>
  <c r="C56" i="7"/>
  <c r="C54" i="7" s="1"/>
  <c r="C53" i="7" s="1"/>
  <c r="E58" i="7"/>
  <c r="C68" i="7"/>
  <c r="E70" i="7"/>
  <c r="B73" i="7"/>
  <c r="B72" i="7" s="1"/>
  <c r="G26" i="2"/>
  <c r="D29" i="2"/>
  <c r="E15" i="7"/>
  <c r="D20" i="7"/>
  <c r="C25" i="7"/>
  <c r="D32" i="7"/>
  <c r="E39" i="7"/>
  <c r="E51" i="7"/>
  <c r="D56" i="7"/>
  <c r="F58" i="7"/>
  <c r="F57" i="7" s="1"/>
  <c r="D68" i="7"/>
  <c r="F70" i="7"/>
  <c r="C73" i="7"/>
  <c r="C72" i="7" s="1"/>
  <c r="E27" i="2"/>
  <c r="E25" i="2" s="1"/>
  <c r="G29" i="2"/>
  <c r="D32" i="2"/>
  <c r="D31" i="2" s="1"/>
  <c r="F13" i="1" s="1"/>
  <c r="F15" i="7"/>
  <c r="E20" i="7"/>
  <c r="E19" i="7" s="1"/>
  <c r="E18" i="7" s="1"/>
  <c r="D25" i="7"/>
  <c r="D24" i="7" s="1"/>
  <c r="E32" i="7"/>
  <c r="F39" i="7"/>
  <c r="F38" i="7" s="1"/>
  <c r="F37" i="7" s="1"/>
  <c r="F51" i="7"/>
  <c r="F50" i="7" s="1"/>
  <c r="F49" i="7" s="1"/>
  <c r="E56" i="7"/>
  <c r="B59" i="7"/>
  <c r="E68" i="7"/>
  <c r="B71" i="7"/>
  <c r="D73" i="7"/>
  <c r="D72" i="7" s="1"/>
  <c r="D27" i="2"/>
  <c r="D25" i="2" s="1"/>
  <c r="F29" i="2"/>
  <c r="F20" i="7"/>
  <c r="F19" i="7" s="1"/>
  <c r="F18" i="7" s="1"/>
  <c r="E25" i="7"/>
  <c r="E24" i="7" s="1"/>
  <c r="B28" i="7"/>
  <c r="B27" i="7" s="1"/>
  <c r="F32" i="7"/>
  <c r="F30" i="7" s="1"/>
  <c r="B40" i="7"/>
  <c r="B38" i="7" s="1"/>
  <c r="B37" i="7" s="1"/>
  <c r="B52" i="7"/>
  <c r="B50" i="7" s="1"/>
  <c r="B49" i="7" s="1"/>
  <c r="F56" i="7"/>
  <c r="F54" i="7" s="1"/>
  <c r="F53" i="7" s="1"/>
  <c r="C59" i="7"/>
  <c r="C57" i="7" s="1"/>
  <c r="F68" i="7"/>
  <c r="C71" i="7"/>
  <c r="E73" i="7"/>
  <c r="E72" i="7" s="1"/>
  <c r="H18" i="2"/>
  <c r="H17" i="2" s="1"/>
  <c r="J10" i="1" s="1"/>
  <c r="F27" i="2"/>
  <c r="F25" i="2" s="1"/>
  <c r="H29" i="2"/>
  <c r="E32" i="2"/>
  <c r="E31" i="2" s="1"/>
  <c r="G13" i="1" s="1"/>
  <c r="G27" i="2"/>
  <c r="D30" i="2"/>
  <c r="F32" i="2"/>
  <c r="F31" i="2" s="1"/>
  <c r="H13" i="1" s="1"/>
  <c r="B21" i="7"/>
  <c r="F25" i="7"/>
  <c r="F24" i="7" s="1"/>
  <c r="C28" i="7"/>
  <c r="C27" i="7" s="1"/>
  <c r="B33" i="7"/>
  <c r="C40" i="7"/>
  <c r="C52" i="7"/>
  <c r="D59" i="7"/>
  <c r="B69" i="7"/>
  <c r="D71" i="7"/>
  <c r="H26" i="2"/>
  <c r="E29" i="2"/>
  <c r="H27" i="2"/>
  <c r="E30" i="2"/>
  <c r="G32" i="2"/>
  <c r="G31" i="2" s="1"/>
  <c r="I13" i="1" s="1"/>
  <c r="B14" i="7"/>
  <c r="B13" i="7" s="1"/>
  <c r="B12" i="7" s="1"/>
  <c r="C21" i="7"/>
  <c r="B26" i="7"/>
  <c r="D28" i="7"/>
  <c r="D27" i="7" s="1"/>
  <c r="C33" i="7"/>
  <c r="D40" i="7"/>
  <c r="D52" i="7"/>
  <c r="E59" i="7"/>
  <c r="C69" i="7"/>
  <c r="E71" i="7"/>
  <c r="D28" i="2"/>
  <c r="F30" i="2"/>
  <c r="H32" i="2"/>
  <c r="H31" i="2" s="1"/>
  <c r="J13" i="1" s="1"/>
  <c r="C14" i="7"/>
  <c r="C13" i="7" s="1"/>
  <c r="C12" i="7" s="1"/>
  <c r="D21" i="7"/>
  <c r="C26" i="7"/>
  <c r="E28" i="7"/>
  <c r="E27" i="7" s="1"/>
  <c r="B31" i="7"/>
  <c r="B30" i="7" s="1"/>
  <c r="D33" i="7"/>
  <c r="E40" i="7"/>
  <c r="B43" i="7"/>
  <c r="B42" i="7" s="1"/>
  <c r="E52" i="7"/>
  <c r="B55" i="7"/>
  <c r="B54" i="7" s="1"/>
  <c r="D69" i="7"/>
  <c r="F71" i="7"/>
  <c r="E28" i="2"/>
  <c r="G30" i="2"/>
  <c r="C31" i="7"/>
  <c r="C30" i="7" s="1"/>
  <c r="H12" i="1" l="1"/>
  <c r="H11" i="1" s="1"/>
  <c r="H14" i="1" s="1"/>
  <c r="H22" i="1" s="1"/>
  <c r="F33" i="2"/>
  <c r="D33" i="2"/>
  <c r="F12" i="1"/>
  <c r="F11" i="1" s="1"/>
  <c r="F14" i="1" s="1"/>
  <c r="F22" i="1" s="1"/>
  <c r="G12" i="1"/>
  <c r="G11" i="1" s="1"/>
  <c r="G14" i="1" s="1"/>
  <c r="G22" i="1" s="1"/>
  <c r="E33" i="2"/>
  <c r="D11" i="7"/>
  <c r="D67" i="7"/>
  <c r="D66" i="7" s="1"/>
  <c r="E30" i="7"/>
  <c r="E23" i="7" s="1"/>
  <c r="E22" i="7" s="1"/>
  <c r="D30" i="7"/>
  <c r="D23" i="7" s="1"/>
  <c r="C67" i="7"/>
  <c r="C66" i="7" s="1"/>
  <c r="B19" i="7"/>
  <c r="B18" i="7" s="1"/>
  <c r="H25" i="2"/>
  <c r="E57" i="7"/>
  <c r="E50" i="7"/>
  <c r="E49" i="7" s="1"/>
  <c r="B67" i="7"/>
  <c r="B66" i="7" s="1"/>
  <c r="E38" i="7"/>
  <c r="E37" i="7" s="1"/>
  <c r="D50" i="7"/>
  <c r="D49" i="7" s="1"/>
  <c r="F13" i="7"/>
  <c r="F12" i="7" s="1"/>
  <c r="F11" i="7" s="1"/>
  <c r="D57" i="7"/>
  <c r="E13" i="7"/>
  <c r="E12" i="7" s="1"/>
  <c r="E11" i="7" s="1"/>
  <c r="C24" i="7"/>
  <c r="C23" i="7" s="1"/>
  <c r="D19" i="7"/>
  <c r="D18" i="7" s="1"/>
  <c r="D38" i="7"/>
  <c r="D37" i="7" s="1"/>
  <c r="C50" i="7"/>
  <c r="C49" i="7" s="1"/>
  <c r="B57" i="7"/>
  <c r="E54" i="7"/>
  <c r="E53" i="7" s="1"/>
  <c r="D54" i="7"/>
  <c r="B11" i="7"/>
  <c r="F67" i="7"/>
  <c r="F66" i="7" s="1"/>
  <c r="F23" i="7"/>
  <c r="F22" i="7" s="1"/>
  <c r="E67" i="7"/>
  <c r="E66" i="7" s="1"/>
  <c r="G25" i="2"/>
  <c r="B24" i="7"/>
  <c r="B23" i="7" s="1"/>
  <c r="C38" i="7"/>
  <c r="C37" i="7" s="1"/>
  <c r="H19" i="2"/>
  <c r="B53" i="7"/>
  <c r="C19" i="7"/>
  <c r="C18" i="7" s="1"/>
  <c r="C11" i="7" s="1"/>
  <c r="J8" i="1"/>
  <c r="F10" i="7" l="1"/>
  <c r="F9" i="7" s="1"/>
  <c r="F8" i="7" s="1"/>
  <c r="F7" i="7" s="1"/>
  <c r="F6" i="7" s="1"/>
  <c r="C11" i="4"/>
  <c r="C12" i="4" s="1"/>
  <c r="C13" i="4" s="1"/>
  <c r="E34" i="2"/>
  <c r="B22" i="7"/>
  <c r="B10" i="7" s="1"/>
  <c r="B9" i="7" s="1"/>
  <c r="B8" i="7" s="1"/>
  <c r="B7" i="7" s="1"/>
  <c r="B6" i="7" s="1"/>
  <c r="B82" i="7" s="1"/>
  <c r="H33" i="2"/>
  <c r="F11" i="4" s="1"/>
  <c r="F12" i="4" s="1"/>
  <c r="F13" i="4" s="1"/>
  <c r="J12" i="1"/>
  <c r="J11" i="1" s="1"/>
  <c r="J14" i="1" s="1"/>
  <c r="J22" i="1" s="1"/>
  <c r="B11" i="4"/>
  <c r="B12" i="4" s="1"/>
  <c r="B13" i="4" s="1"/>
  <c r="I12" i="1"/>
  <c r="I11" i="1" s="1"/>
  <c r="I14" i="1" s="1"/>
  <c r="I22" i="1" s="1"/>
  <c r="G33" i="2"/>
  <c r="C22" i="7"/>
  <c r="C10" i="7" s="1"/>
  <c r="C9" i="7" s="1"/>
  <c r="C8" i="7" s="1"/>
  <c r="C7" i="7" s="1"/>
  <c r="C6" i="7" s="1"/>
  <c r="C82" i="7" s="1"/>
  <c r="D11" i="4"/>
  <c r="D12" i="4" s="1"/>
  <c r="D13" i="4" s="1"/>
  <c r="F34" i="2"/>
  <c r="D53" i="7"/>
  <c r="D22" i="7" s="1"/>
  <c r="D10" i="7" s="1"/>
  <c r="D9" i="7" s="1"/>
  <c r="D8" i="7" s="1"/>
  <c r="D7" i="7" s="1"/>
  <c r="D6" i="7" s="1"/>
  <c r="D82" i="7" s="1"/>
  <c r="E10" i="7"/>
  <c r="E9" i="7" s="1"/>
  <c r="E8" i="7" s="1"/>
  <c r="E7" i="7" s="1"/>
  <c r="E6" i="7" s="1"/>
  <c r="E82" i="7" s="1"/>
  <c r="F82" i="7" l="1"/>
  <c r="H34" i="2"/>
  <c r="E11" i="4"/>
  <c r="E12" i="4" s="1"/>
  <c r="E13" i="4" s="1"/>
  <c r="G34" i="2"/>
</calcChain>
</file>

<file path=xl/sharedStrings.xml><?xml version="1.0" encoding="utf-8"?>
<sst xmlns="http://schemas.openxmlformats.org/spreadsheetml/2006/main" count="1175" uniqueCount="283">
  <si>
    <t>PRIJEDLOG FINANCIJSKOG PLANA OSNOVNE ŠKOLE MARINA GETALDIĆA
ZA 2027. I PROJEKCIJA ZA 2028. I 2029. GODINU</t>
  </si>
  <si>
    <t>I. OPĆI DIO</t>
  </si>
  <si>
    <t>A) SAŽETAK RAČUNA PRIHODA I RASHODA</t>
  </si>
  <si>
    <t>EUR</t>
  </si>
  <si>
    <t>Izvršenje 2025.</t>
  </si>
  <si>
    <t>Plan 2026.</t>
  </si>
  <si>
    <t>Plan za 2027.</t>
  </si>
  <si>
    <t>Projekcija za 2028.</t>
  </si>
  <si>
    <t>Projekcija za 2029.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</si>
  <si>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</si>
  <si>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</si>
  <si>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</si>
  <si>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</si>
  <si>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</si>
  <si>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</si>
  <si>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– VIŠAK / MANJAK</t>
  </si>
  <si>
    <t>C) PRENESENI VIŠAK ILI PRENESENI MANJAK</t>
  </si>
  <si>
    <t>PRIJENOS VIŠKA / MANJKA IZ PRETHODNE(IH) GODINE</t>
  </si>
  <si>
    <t>PRIJENOS VIŠKA / MANJKA U SLJEDEĆE RAZDOBLJE</t>
  </si>
  <si>
    <t>VIŠAK / MANJAK + NETO FINANCIRANJE + PRIJENOS VIŠKA / MANJKA IZ PRETHODNE(IH) GODINE – PRIJENOS VIŠKA / MANJKA U SLJEDEĆE RAZDOBLJE</t>
  </si>
  <si>
    <t>* Izvršenje 2025. prema Izvještaju o izvršenju financijskog plana za 2025. Žuta polja (prijenos viška/manjka) popuniti prema bilanci / obrascu PR-RAS.</t>
  </si>
  <si>
    <t>A. RAČUN PRIHODA I RASHODA</t>
  </si>
  <si>
    <t>PRIHODI POSLOVANJA PREMA EKONOMSKOJ KLASIFIKACIJI</t>
  </si>
  <si>
    <t>Razred</t>
  </si>
  <si>
    <t>Skupina</t>
  </si>
  <si>
    <t>Naziv prihoda</t>
  </si>
  <si>
    <t>6 Prihodi poslovanja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</si>
  <si>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</si>
  <si>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</si>
  <si>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</si>
  <si>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</t>
  </si>
  <si>
    <t>67 Prihodi iz nadležnog proračuna i od HZZO-a temeljem ugovornih obveza</t>
  </si>
  <si>
    <t>7 Prihodi od prodaje nefinancijske imovine</t>
  </si>
  <si>
    <t>72 Prihodi od prodaje proizvedene dugotrajne imovine</t>
  </si>
  <si>
    <t>RASHODI POSLOVANJA PREMA EKONOMSKOJ KLASIFIKACIJI</t>
  </si>
  <si>
    <t>Naziv rashoda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</si>
  <si>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</si>
  <si>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</si>
  <si>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</si>
  <si>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</si>
  <si>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</si>
  <si>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</si>
  <si>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</si>
  <si>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</si>
  <si>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Razlika prihodi – rashodi (planovi = 0; 2025. = manjak iz izvještaja)</t>
  </si>
  <si>
    <t>PRIHODI POSLOVANJA PREMA IZVORIMA FINANCIRANJA</t>
  </si>
  <si>
    <t>Brojčana oznaka i naziv</t>
  </si>
  <si>
    <t>IZVOR</t>
  </si>
  <si>
    <t>11 Opći prihodi i primici</t>
  </si>
  <si>
    <t>112 Opći prihodi i primici – decentralizirane funkcije</t>
  </si>
  <si>
    <t>312 Vlastiti prihodi proračunskih korisnika</t>
  </si>
  <si>
    <t>436 Ostali prihodi za posebne namjene</t>
  </si>
  <si>
    <t>5011 Pomoći iz državnog proračuna kroz opće prihode i primitke</t>
  </si>
  <si>
    <t>55 Donacije i ostali namjenski prihodi proračunskih korisnika</t>
  </si>
  <si>
    <t>561 Europski socijalni fond plus</t>
  </si>
  <si>
    <t>565 Europski poljoprivredni fond za ruralni razvoj</t>
  </si>
  <si>
    <t>RASHODI POSLOVANJA PREMA IZVORIMA FINANCIRANJA</t>
  </si>
  <si>
    <t>92 Višak/manjak prihoda (stari izvor, samo izvršenje 2025.)</t>
  </si>
  <si>
    <t>99 Višak/manjak prihoda proračunskih korisnika (stari izvor, samo izvršenje 2025.)</t>
  </si>
  <si>
    <t>RASHODI PREMA FUNKCIJSKOJ KLASIFIKACIJI</t>
  </si>
  <si>
    <t>BROJČANA OZNAKA I NAZIV</t>
  </si>
  <si>
    <t>UKUPNI RASHODI</t>
  </si>
  <si>
    <t>09 OBRAZOVANJE</t>
  </si>
  <si>
    <t>091 Predškolsko i osnovno obrazovanje</t>
  </si>
  <si>
    <t>II. POSEBNI DIO</t>
  </si>
  <si>
    <t>Oznaka</t>
  </si>
  <si>
    <t>SVEUKUPNO</t>
  </si>
  <si>
    <t>Razdjel: 008 UPRAVNI ODJEL ZA OBRAZOVANJE, ŠPORT, SOCIJALNU SKRB I CIVILNO DRUŠTVO</t>
  </si>
  <si>
    <t>Glava: 00831 OSNOVNO ŠKOLSTVO</t>
  </si>
  <si>
    <t>11919 OŠ MARINA GETALDIĆA</t>
  </si>
  <si>
    <t>Uprava: 0003 OŠ MARINA GETALDIĆA</t>
  </si>
  <si>
    <t>Program: 18054 DECENTRALIZIRANE FUNKCIJE – MINIMALNI FINANCIJSKI STANDARD</t>
  </si>
  <si>
    <t>18054001 MATERIJALNI I FINANCIJSKI RASHODI</t>
  </si>
  <si>
    <t>Izvor: 112 Opći prihodi i primici – decentralizirane funkcije</t>
  </si>
  <si>
    <t>Izvor: 5011 Pomoći iz državnog proračuna kroz opće prihode i primitke</t>
  </si>
  <si>
    <t>18054004 REDOVNA DJELATNOST OSNOVNOG OBRAZOVANJA</t>
  </si>
  <si>
    <t>Program: 18055 DECENTRALIZIRANE FUNKCIJE – IZNAD MINIMALNOG FINANCIJSKOG STANDARDA</t>
  </si>
  <si>
    <t>18055002 OSTALI PROJEKTI U OSNOVNOM ŠKOLSTVU</t>
  </si>
  <si>
    <t>Izvor: 11 Opći prihodi i primici</t>
  </si>
  <si>
    <t>Izvor: 312 Vlastiti prihodi proračunskih korisnika</t>
  </si>
  <si>
    <t>Izvor: 55 Donacije i ostali namjenski prihodi proračunskih korisnika</t>
  </si>
  <si>
    <t>Izvor: 99 Višak/manjak prihoda proračunskih korisnika (stari izvor, samo izvršenje 2025.)</t>
  </si>
  <si>
    <t>18055006 PRODUŽENI BORAVAK</t>
  </si>
  <si>
    <t>Izvor: 436 Ostali prihodi za posebne namjene</t>
  </si>
  <si>
    <t>18055021 TEKUĆE I INVESTICIJSKO ODRŽAVANJE IZNAD MINIMALNOG FINANCIJSKOG STANDARDA</t>
  </si>
  <si>
    <t>Izvor: 92 Višak/manjak prihoda (stari izvor, samo izvršenje 2025.)</t>
  </si>
  <si>
    <t>18055023 STRUČNO RAZVOJNE SLUŽBE</t>
  </si>
  <si>
    <t>18055036 ASISTENT U NASTAVI</t>
  </si>
  <si>
    <t>Izvor: 561 Europski socijalni fond plus</t>
  </si>
  <si>
    <t>18055039 NABAVA ŠKOLSKIH UDŽBENIKA</t>
  </si>
  <si>
    <t>18055040 SHEMA ŠKOLSKOG VOĆA</t>
  </si>
  <si>
    <t>Izvor: 565 Europski poljoprivredni fond za ruralni razvoj</t>
  </si>
  <si>
    <t>18055043 PREHRANA ZA UČENIKE U OSNOVNIM ŠKOLAMA</t>
  </si>
  <si>
    <t>Program: 18056 KAPITALNO ULAGANJE U ŠKOLSTVO – MINIMALNI FINANCIJSKI STANDARD</t>
  </si>
  <si>
    <t>18056002 ŠKOLSKA OPREMA</t>
  </si>
  <si>
    <t>Program: 18057 KAPITALNO ULAGANJE U ŠKOLSTVO – IZNAD MINIMALNOG FINANCIJSKOG STANDARDA</t>
  </si>
  <si>
    <t>Kontrola: Posebni dio – Opći dio (rashodi)</t>
  </si>
  <si>
    <t>PODLOGA – plan na 5. razini (konsolidirani, proračunski + vanproračunski) s novim izvorima financiranja</t>
  </si>
  <si>
    <t>Program</t>
  </si>
  <si>
    <t>Aktivnost</t>
  </si>
  <si>
    <t>Naziv aktivnosti</t>
  </si>
  <si>
    <t>Izvor (novi)</t>
  </si>
  <si>
    <t>Izvor (stari)</t>
  </si>
  <si>
    <t>Konto</t>
  </si>
  <si>
    <t>Naziv konta</t>
  </si>
  <si>
    <t>Plan 2027.</t>
  </si>
  <si>
    <t>Projekcija 2028.</t>
  </si>
  <si>
    <t>Projekcija 2029.</t>
  </si>
  <si>
    <t>18054</t>
  </si>
  <si>
    <t>18054001</t>
  </si>
  <si>
    <t>MATERIJALNI I FINANCIJSKI RASHODI</t>
  </si>
  <si>
    <t>112</t>
  </si>
  <si>
    <t>31</t>
  </si>
  <si>
    <t>32</t>
  </si>
  <si>
    <t>Materijalni rashodi (izvršenje 2025. – razina skupine)</t>
  </si>
  <si>
    <t>32111</t>
  </si>
  <si>
    <t>Dnevnice za službeni put u zemlji</t>
  </si>
  <si>
    <t>32113</t>
  </si>
  <si>
    <t>Naknade za smještaj na službenom putu u zemlji</t>
  </si>
  <si>
    <t>32115</t>
  </si>
  <si>
    <t>Naknade za prijevoz na službenom putu u zemlji</t>
  </si>
  <si>
    <t>32131</t>
  </si>
  <si>
    <t>Seminari, savjetovanja i simpoziji</t>
  </si>
  <si>
    <t>32211</t>
  </si>
  <si>
    <t>Uredski materijal</t>
  </si>
  <si>
    <t>32212</t>
  </si>
  <si>
    <t>Literatura (publikacije, časopisi, glasila, knjige i ostalo)</t>
  </si>
  <si>
    <t>32214</t>
  </si>
  <si>
    <t>Materijal i sredstva za čišćenje i održavanje</t>
  </si>
  <si>
    <t>32216</t>
  </si>
  <si>
    <t>Materijal za higijenske potrebe i njegu</t>
  </si>
  <si>
    <t>32219</t>
  </si>
  <si>
    <t>Ostali materijal za potrebe redovnog poslovanja</t>
  </si>
  <si>
    <t>32241</t>
  </si>
  <si>
    <t>Materijal i dijelovi za tekuće i inveticijsko održavanje građevinskih objekata</t>
  </si>
  <si>
    <t>32242</t>
  </si>
  <si>
    <t>Materijal i dijelovi za tekuće i investicijsko održavanje postrojenja i opreme</t>
  </si>
  <si>
    <t>32251</t>
  </si>
  <si>
    <t>Sitni inventar</t>
  </si>
  <si>
    <t>32271</t>
  </si>
  <si>
    <t>Službena, radna i zaštitna odjeća i obuća</t>
  </si>
  <si>
    <t>32311</t>
  </si>
  <si>
    <t>Usluge telefona, telefaksa</t>
  </si>
  <si>
    <t>32313</t>
  </si>
  <si>
    <t>Poštarina (pisma, tiskanice i sl.)</t>
  </si>
  <si>
    <t>32319</t>
  </si>
  <si>
    <t>Ostale usluge za komunikaciju i prijevoz</t>
  </si>
  <si>
    <t>32341</t>
  </si>
  <si>
    <t>Opskrba vodom</t>
  </si>
  <si>
    <t>32342</t>
  </si>
  <si>
    <t>Iznošenje i odvoz smeća</t>
  </si>
  <si>
    <t>32343</t>
  </si>
  <si>
    <t>Deratizacija i dezinsekcija</t>
  </si>
  <si>
    <t>32349</t>
  </si>
  <si>
    <t>Ostale komunalne usluge</t>
  </si>
  <si>
    <t>32361</t>
  </si>
  <si>
    <t>Obvezni i preventivni zdravstveni pregledi zaposlenika</t>
  </si>
  <si>
    <t>32381</t>
  </si>
  <si>
    <t>Usluge ažuriranja računalnih baza</t>
  </si>
  <si>
    <t>32391</t>
  </si>
  <si>
    <t>Grafičke i tiskarske usluge, usluge kopiranja i uvezivanja i slično</t>
  </si>
  <si>
    <t>32393</t>
  </si>
  <si>
    <t>Uređenje prostora</t>
  </si>
  <si>
    <t>32396</t>
  </si>
  <si>
    <t>Usluge čuvanja imovine i osoba</t>
  </si>
  <si>
    <t>32922</t>
  </si>
  <si>
    <t>Premije osiguranja ostale imovine</t>
  </si>
  <si>
    <t>32931</t>
  </si>
  <si>
    <t>Reprezentacija</t>
  </si>
  <si>
    <t>32941</t>
  </si>
  <si>
    <t>Tuzemne članarine</t>
  </si>
  <si>
    <t>32959</t>
  </si>
  <si>
    <t>Ostale pristojbe i naknade</t>
  </si>
  <si>
    <t>32999</t>
  </si>
  <si>
    <t>Ostali nespomenuti rashodi poslovanja</t>
  </si>
  <si>
    <t>34</t>
  </si>
  <si>
    <t>Financijski rashodi (izvršenje 2025. – razina skupine)</t>
  </si>
  <si>
    <t>34312</t>
  </si>
  <si>
    <t>Usluge platnog prometa</t>
  </si>
  <si>
    <t>5011</t>
  </si>
  <si>
    <t>32231</t>
  </si>
  <si>
    <t>Električna energija</t>
  </si>
  <si>
    <t>32233</t>
  </si>
  <si>
    <t>Plin</t>
  </si>
  <si>
    <t>32321</t>
  </si>
  <si>
    <t>Usluge tekućeg i investicijskog održavanja građevinskih objekata</t>
  </si>
  <si>
    <t>32322</t>
  </si>
  <si>
    <t>Usluge tekućeg i investicijskog održavanja postrojenja i opreme</t>
  </si>
  <si>
    <t>18054004</t>
  </si>
  <si>
    <t>REDOVNA DJELATNOST OSNOVNOG OBRAZOVANJA</t>
  </si>
  <si>
    <t>49</t>
  </si>
  <si>
    <t>Rashodi za zaposlene (izvršenje 2025. – razina skupine)</t>
  </si>
  <si>
    <t>31111</t>
  </si>
  <si>
    <t>Plaće za zaposlene</t>
  </si>
  <si>
    <t>31131</t>
  </si>
  <si>
    <t>Plaća za prekovremeni rad</t>
  </si>
  <si>
    <t>31141</t>
  </si>
  <si>
    <t>Posebni uvijeti rada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</si>
  <si>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</si>
  <si>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</si>
  <si>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</si>
  <si>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</si>
  <si>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</si>
  <si>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</si>
  <si>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</si>
  <si>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</si>
  <si>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</si>
  <si>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</si>
  <si>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</si>
  <si>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</si>
  <si>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31321</t>
  </si>
  <si>
    <t>Doprinosi za obvezno zdravstveno osiguranje</t>
  </si>
  <si>
    <t>32121</t>
  </si>
  <si>
    <t>Naknade za prijevoz na posao i s posla</t>
  </si>
  <si>
    <t>32955</t>
  </si>
  <si>
    <t>Novčana naknada poslodavca zbog nezapošljavanja osoba s invaliditetom</t>
  </si>
  <si>
    <t>18055</t>
  </si>
  <si>
    <t>18055002</t>
  </si>
  <si>
    <t>OSTALI PROJEKTI U OSNOVNOM ŠKOLSTVU</t>
  </si>
  <si>
    <t>11</t>
  </si>
  <si>
    <t>Usluge za komunikaciju i prijevoz</t>
  </si>
  <si>
    <t>32371</t>
  </si>
  <si>
    <t>autorski honorar</t>
  </si>
  <si>
    <t>Usluge čuvanja osoba  i imovine</t>
  </si>
  <si>
    <t>37</t>
  </si>
  <si>
    <t>Naknade građanima i kućanstvima na temelju osiguranja i druge naknade (izvršenje 2025. – razina skupine)</t>
  </si>
  <si>
    <t>312</t>
  </si>
  <si>
    <t>uredski materijal</t>
  </si>
  <si>
    <t>25</t>
  </si>
  <si>
    <t>42</t>
  </si>
  <si>
    <t>Rashodi za nabavu proizvedene dugotrajne imovine (izvršenje 2025. – razina skupine)</t>
  </si>
  <si>
    <t>42211</t>
  </si>
  <si>
    <t>računala i računalna oprema</t>
  </si>
  <si>
    <t>42212</t>
  </si>
  <si>
    <t>uredski namještaj</t>
  </si>
  <si>
    <t>42411</t>
  </si>
  <si>
    <t>Knjige u knjižnici</t>
  </si>
  <si>
    <t>55</t>
  </si>
  <si>
    <t>38</t>
  </si>
  <si>
    <t>Ostali rashodi (izvršenje 2025. – razina skupine)</t>
  </si>
  <si>
    <t>38129</t>
  </si>
  <si>
    <t>ostale donacije u naravi</t>
  </si>
  <si>
    <t>42273</t>
  </si>
  <si>
    <t>Oprema</t>
  </si>
  <si>
    <t>99</t>
  </si>
  <si>
    <t>18055006</t>
  </si>
  <si>
    <t>PRODUŽENI BORAVAK</t>
  </si>
  <si>
    <t>nagrade</t>
  </si>
  <si>
    <t>37224</t>
  </si>
  <si>
    <t>Prehrana</t>
  </si>
  <si>
    <t>436</t>
  </si>
  <si>
    <t>18055021</t>
  </si>
  <si>
    <t>TEKUĆE I INVESTICIJSKO ODRŽAVANJE IZNAD MINIMALNOG FINANCIJSKOG STANDARDA</t>
  </si>
  <si>
    <t>92</t>
  </si>
  <si>
    <t>18055023</t>
  </si>
  <si>
    <t>STRUČNO RAZVOJNE SLUŽBE</t>
  </si>
  <si>
    <t>18055036</t>
  </si>
  <si>
    <t>ASISTENT U NASTAVI</t>
  </si>
  <si>
    <t>darovi</t>
  </si>
  <si>
    <t>561</t>
  </si>
  <si>
    <t>44</t>
  </si>
  <si>
    <t>naknade za prjievoz na posao i s posla</t>
  </si>
  <si>
    <t>18055039</t>
  </si>
  <si>
    <t>NABAVA ŠKOLSKIH UDŽBENIKA</t>
  </si>
  <si>
    <t>18055040</t>
  </si>
  <si>
    <t>SHEMA ŠKOLSKOG VOĆA</t>
  </si>
  <si>
    <t>565</t>
  </si>
  <si>
    <t>32224</t>
  </si>
  <si>
    <t>Namirnice</t>
  </si>
  <si>
    <t>18055043</t>
  </si>
  <si>
    <t>PREHRANA ZA UČENIKE U OSNOVNIM ŠKOLAMA</t>
  </si>
  <si>
    <t>18056</t>
  </si>
  <si>
    <t>18056002</t>
  </si>
  <si>
    <t>ŠKOLSKA OPREMA</t>
  </si>
  <si>
    <t>Računala i računalna oprema</t>
  </si>
  <si>
    <t>Uredski namještaj</t>
  </si>
  <si>
    <t>42219</t>
  </si>
  <si>
    <t>ostala uredska oprema</t>
  </si>
  <si>
    <t>18057</t>
  </si>
  <si>
    <t>KAPITALNO ULAGANJE U ŠKOLSTVO – IZNAD MINIMALNOG FINANCIJSKOG STANDARDA</t>
  </si>
  <si>
    <t>42231</t>
  </si>
  <si>
    <t>Oprema za grijanje ventilaciju i hlađenje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</si>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</sst>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\-"/>
  </numFmts>
  <fonts count="9" x14ac:knownFonts="1">
    <font>
      <sz val="11"/>
      <color theme="1"/>
      <name val="Calibri"/>
      <family val="2"/>
      <charset val="1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FF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  <fill>
      <patternFill patternType="solid">
        <fgColor rgb="FFDDEBF7"/>
        <bgColor rgb="FFCCFFFF"/>
      </patternFill>
    </fill>
    <fill>
      <patternFill patternType="solid">
        <fgColor rgb="FF9BC2E6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4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5" fillId="0" borderId="1" xfId="0" applyNumberFormat="1" applyFont="1" applyBorder="1"/>
    <xf numFmtId="0" fontId="6" fillId="0" borderId="0" xfId="0" applyFont="1"/>
    <xf numFmtId="0" fontId="4" fillId="3" borderId="1" xfId="0" applyFont="1" applyFill="1" applyBorder="1"/>
    <xf numFmtId="0" fontId="7" fillId="0" borderId="1" xfId="0" applyFont="1" applyBorder="1"/>
    <xf numFmtId="164" fontId="7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4" borderId="1" xfId="0" applyFont="1" applyFill="1" applyBorder="1" applyAlignment="1">
      <alignment vertical="center" wrapText="1"/>
    </xf>
    <xf numFmtId="164" fontId="3" fillId="4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64" fontId="3" fillId="5" borderId="1" xfId="0" applyNumberFormat="1" applyFont="1" applyFill="1" applyBorder="1"/>
    <xf numFmtId="0" fontId="2" fillId="0" borderId="0" xfId="0" applyFont="1"/>
    <xf numFmtId="0" fontId="3" fillId="0" borderId="0" xfId="0" applyFont="1"/>
    <xf numFmtId="164" fontId="8" fillId="6" borderId="1" xfId="0" applyNumberFormat="1" applyFont="1" applyFill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C2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showGridLines="0" zoomScaleNormal="100" workbookViewId="0">
      <selection activeCell="F14" sqref="F14"/>
    </sheetView>
  </sheetViews>
  <sheetFormatPr defaultColWidth="8.7109375" defaultRowHeight="15" x14ac:dyDescent="0.25"/>
  <cols>
    <col min="1" max="5" width="9" customWidth="1"/>
    <col min="6" max="10" width="16" customWidth="1"/>
  </cols>
  <sheetData>
    <row r="1" spans="1:10" ht="1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</row>
    <row r="5" spans="1:10" ht="15" customHeight="1" x14ac:dyDescent="0.25">
      <c r="A5" s="26" t="s">
        <v>2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x14ac:dyDescent="0.25">
      <c r="J6" s="1" t="s">
        <v>3</v>
      </c>
    </row>
    <row r="7" spans="1:10" ht="30" customHeight="1" x14ac:dyDescent="0.25">
      <c r="A7" s="27"/>
      <c r="B7" s="27"/>
      <c r="C7" s="27"/>
      <c r="D7" s="27"/>
      <c r="E7" s="27"/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</row>
    <row r="8" spans="1:10" x14ac:dyDescent="0.25">
      <c r="A8" s="28" t="s">
        <v>9</v>
      </c>
      <c r="B8" s="28"/>
      <c r="C8" s="28"/>
      <c r="D8" s="28"/>
      <c r="E8" s="28"/>
      <c r="F8" s="4">
        <f>F9+F10</f>
        <v>1588836.15</v>
      </c>
      <c r="G8" s="4">
        <f>G9+G10</f>
        <v>1973470</v>
      </c>
      <c r="H8" s="4">
        <f>H9+H10</f>
        <v>2120850</v>
      </c>
      <c r="I8" s="4">
        <f>I9+I10</f>
        <v>1870850</v>
      </c>
      <c r="J8" s="4">
        <f>J9+J10</f>
        <v>1870850</v>
      </c>
    </row>
    <row r="9" spans="1:10" x14ac:dyDescent="0.25">
      <c r="A9" s="29" t="s">
        <v>10</v>
      </c>
      <c r="B9" s="29"/>
      <c r="C9" s="29"/>
      <c r="D9" s="29"/>
      <c r="E9" s="29"/>
      <c r="F9" s="6">
        <f>' Račun prihoda i rashoda'!D11</f>
        <v>1588809.51</v>
      </c>
      <c r="G9" s="6">
        <f>' Račun prihoda i rashoda'!E11</f>
        <v>1973380</v>
      </c>
      <c r="H9" s="6">
        <f>' Račun prihoda i rashoda'!F11</f>
        <v>2120760</v>
      </c>
      <c r="I9" s="6">
        <f>' Račun prihoda i rashoda'!G11</f>
        <v>1870760</v>
      </c>
      <c r="J9" s="6">
        <f>' Račun prihoda i rashoda'!H11</f>
        <v>1870760</v>
      </c>
    </row>
    <row r="10" spans="1:10" x14ac:dyDescent="0.25">
      <c r="A10" s="29" t="s">
        <v>11</v>
      </c>
      <c r="B10" s="29"/>
      <c r="C10" s="29"/>
      <c r="D10" s="29"/>
      <c r="E10" s="29"/>
      <c r="F10" s="6">
        <f>' Račun prihoda i rashoda'!D17</f>
        <v>26.64</v>
      </c>
      <c r="G10" s="6">
        <f>' Račun prihoda i rashoda'!E17</f>
        <v>90</v>
      </c>
      <c r="H10" s="6">
        <f>' Račun prihoda i rashoda'!F17</f>
        <v>90</v>
      </c>
      <c r="I10" s="6">
        <f>' Račun prihoda i rashoda'!G17</f>
        <v>90</v>
      </c>
      <c r="J10" s="6">
        <f>' Račun prihoda i rashoda'!H17</f>
        <v>90</v>
      </c>
    </row>
    <row r="11" spans="1:10" x14ac:dyDescent="0.25">
      <c r="A11" s="28" t="s">
        <v>12</v>
      </c>
      <c r="B11" s="28"/>
      <c r="C11" s="28"/>
      <c r="D11" s="28"/>
      <c r="E11" s="28"/>
      <c r="F11" s="4">
        <f>F12+F13</f>
        <v>1714115.99</v>
      </c>
      <c r="G11" s="4">
        <f>G12+G13</f>
        <v>1973470</v>
      </c>
      <c r="H11" s="4">
        <f>H12+H13</f>
        <v>2120850</v>
      </c>
      <c r="I11" s="4">
        <f>I12+I13</f>
        <v>1870850</v>
      </c>
      <c r="J11" s="4">
        <f>J12+J13</f>
        <v>1870850</v>
      </c>
    </row>
    <row r="12" spans="1:10" x14ac:dyDescent="0.25">
      <c r="A12" s="29" t="s">
        <v>13</v>
      </c>
      <c r="B12" s="29"/>
      <c r="C12" s="29"/>
      <c r="D12" s="29"/>
      <c r="E12" s="29"/>
      <c r="F12" s="6">
        <f>' Račun prihoda i rashoda'!D25</f>
        <v>1677586.25</v>
      </c>
      <c r="G12" s="6">
        <f>' Račun prihoda i rashoda'!E25</f>
        <v>1803710</v>
      </c>
      <c r="H12" s="6">
        <f>' Račun prihoda i rashoda'!F25</f>
        <v>1825090</v>
      </c>
      <c r="I12" s="6">
        <f>' Račun prihoda i rashoda'!G25</f>
        <v>1825090</v>
      </c>
      <c r="J12" s="6">
        <f>' Račun prihoda i rashoda'!H25</f>
        <v>1825090</v>
      </c>
    </row>
    <row r="13" spans="1:10" x14ac:dyDescent="0.25">
      <c r="A13" s="29" t="s">
        <v>14</v>
      </c>
      <c r="B13" s="29"/>
      <c r="C13" s="29"/>
      <c r="D13" s="29"/>
      <c r="E13" s="29"/>
      <c r="F13" s="6">
        <f>' Račun prihoda i rashoda'!D31</f>
        <v>36529.74</v>
      </c>
      <c r="G13" s="6">
        <f>' Račun prihoda i rashoda'!E31</f>
        <v>169760</v>
      </c>
      <c r="H13" s="6">
        <f>' Račun prihoda i rashoda'!F31</f>
        <v>295760</v>
      </c>
      <c r="I13" s="6">
        <f>' Račun prihoda i rashoda'!G31</f>
        <v>45760</v>
      </c>
      <c r="J13" s="6">
        <f>' Račun prihoda i rashoda'!H31</f>
        <v>45760</v>
      </c>
    </row>
    <row r="14" spans="1:10" x14ac:dyDescent="0.25">
      <c r="A14" s="28" t="s">
        <v>15</v>
      </c>
      <c r="B14" s="28"/>
      <c r="C14" s="28"/>
      <c r="D14" s="28"/>
      <c r="E14" s="28"/>
      <c r="F14" s="4">
        <f>F8-F11</f>
        <v>-125279.84000000008</v>
      </c>
      <c r="G14" s="4">
        <f>G8-G11</f>
        <v>0</v>
      </c>
      <c r="H14" s="4">
        <f>H8-H11</f>
        <v>0</v>
      </c>
      <c r="I14" s="4">
        <f>I8-I11</f>
        <v>0</v>
      </c>
      <c r="J14" s="4">
        <f>J8-J11</f>
        <v>0</v>
      </c>
    </row>
    <row r="17" spans="1:10" ht="15" customHeight="1" x14ac:dyDescent="0.25">
      <c r="A17" s="26" t="s">
        <v>16</v>
      </c>
      <c r="B17" s="26"/>
      <c r="C17" s="26"/>
      <c r="D17" s="26"/>
      <c r="E17" s="26"/>
      <c r="F17" s="26"/>
      <c r="G17" s="26"/>
      <c r="H17" s="26"/>
      <c r="I17" s="26"/>
      <c r="J17" s="26"/>
    </row>
    <row r="19" spans="1:10" ht="30" customHeight="1" x14ac:dyDescent="0.25">
      <c r="A19" s="27"/>
      <c r="B19" s="27"/>
      <c r="C19" s="27"/>
      <c r="D19" s="27"/>
      <c r="E19" s="27"/>
      <c r="F19" s="2" t="s">
        <v>4</v>
      </c>
      <c r="G19" s="2" t="s">
        <v>5</v>
      </c>
      <c r="H19" s="2" t="s">
        <v>6</v>
      </c>
      <c r="I19" s="2" t="s">
        <v>7</v>
      </c>
      <c r="J19" s="2" t="s">
        <v>8</v>
      </c>
    </row>
    <row r="20" spans="1:10" ht="30" customHeight="1" x14ac:dyDescent="0.25">
      <c r="A20" s="30" t="s">
        <v>17</v>
      </c>
      <c r="B20" s="30"/>
      <c r="C20" s="30"/>
      <c r="D20" s="30"/>
      <c r="E20" s="30"/>
      <c r="F20" s="22">
        <v>10228.219999999999</v>
      </c>
      <c r="G20" s="8">
        <v>0</v>
      </c>
      <c r="H20" s="8">
        <v>0</v>
      </c>
      <c r="I20" s="8">
        <v>0</v>
      </c>
      <c r="J20" s="8">
        <v>0</v>
      </c>
    </row>
    <row r="21" spans="1:10" ht="30" customHeight="1" x14ac:dyDescent="0.25">
      <c r="A21" s="30" t="s">
        <v>18</v>
      </c>
      <c r="B21" s="30"/>
      <c r="C21" s="30"/>
      <c r="D21" s="30"/>
      <c r="E21" s="30"/>
      <c r="F21" s="22">
        <v>-115051.62</v>
      </c>
      <c r="G21" s="8">
        <v>0</v>
      </c>
      <c r="H21" s="8">
        <v>0</v>
      </c>
      <c r="I21" s="8">
        <v>0</v>
      </c>
      <c r="J21" s="8">
        <v>0</v>
      </c>
    </row>
    <row r="22" spans="1:10" ht="42" customHeight="1" x14ac:dyDescent="0.25">
      <c r="A22" s="30" t="s">
        <v>19</v>
      </c>
      <c r="B22" s="30"/>
      <c r="C22" s="30"/>
      <c r="D22" s="30"/>
      <c r="E22" s="30"/>
      <c r="F22" s="4">
        <f>F14+F20-F21</f>
        <v>0</v>
      </c>
      <c r="G22" s="4">
        <f>G14+G20-G21</f>
        <v>0</v>
      </c>
      <c r="H22" s="4">
        <f>H14+H20-H21</f>
        <v>0</v>
      </c>
      <c r="I22" s="4">
        <f>I14+I20-I21</f>
        <v>0</v>
      </c>
      <c r="J22" s="4">
        <f>J14+J20-J21</f>
        <v>0</v>
      </c>
    </row>
    <row r="24" spans="1:10" x14ac:dyDescent="0.25">
      <c r="A24" s="9" t="s">
        <v>20</v>
      </c>
    </row>
  </sheetData>
  <mergeCells count="16">
    <mergeCell ref="A22:E22"/>
    <mergeCell ref="A14:E14"/>
    <mergeCell ref="A17:J17"/>
    <mergeCell ref="A19:E19"/>
    <mergeCell ref="A20:E20"/>
    <mergeCell ref="A21:E21"/>
    <mergeCell ref="A9:E9"/>
    <mergeCell ref="A10:E10"/>
    <mergeCell ref="A11:E11"/>
    <mergeCell ref="A12:E12"/>
    <mergeCell ref="A13:E13"/>
    <mergeCell ref="A1:J2"/>
    <mergeCell ref="A3:J3"/>
    <mergeCell ref="A5:J5"/>
    <mergeCell ref="A7:E7"/>
    <mergeCell ref="A8:E8"/>
  </mergeCells>
  <pageMargins left="0.75" right="0.75" top="1" bottom="1" header="0.511811023622047" footer="0.511811023622047"/>
  <pageSetup scale="96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showGridLines="0" topLeftCell="A7" zoomScaleNormal="100" workbookViewId="0">
      <selection activeCell="A21" sqref="A21:XFD21"/>
    </sheetView>
  </sheetViews>
  <sheetFormatPr defaultColWidth="8.7109375" defaultRowHeight="15" x14ac:dyDescent="0.25"/>
  <cols>
    <col min="1" max="2" width="8" customWidth="1"/>
    <col min="3" max="3" width="52" customWidth="1"/>
    <col min="4" max="8" width="15" customWidth="1"/>
  </cols>
  <sheetData>
    <row r="1" spans="1:8" ht="31.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3" spans="1:8" ht="1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</row>
    <row r="5" spans="1:8" ht="15" customHeight="1" x14ac:dyDescent="0.25">
      <c r="A5" s="26" t="s">
        <v>21</v>
      </c>
      <c r="B5" s="26"/>
      <c r="C5" s="26"/>
      <c r="D5" s="26"/>
      <c r="E5" s="26"/>
      <c r="F5" s="26"/>
      <c r="G5" s="26"/>
      <c r="H5" s="26"/>
    </row>
    <row r="7" spans="1:8" ht="15" customHeight="1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idden="1" x14ac:dyDescent="0.25"/>
    <row r="10" spans="1:8" ht="30" customHeight="1" x14ac:dyDescent="0.25">
      <c r="A10" s="2" t="s">
        <v>23</v>
      </c>
      <c r="B10" s="2" t="s">
        <v>24</v>
      </c>
      <c r="C10" s="2" t="s">
        <v>25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</row>
    <row r="11" spans="1:8" x14ac:dyDescent="0.25">
      <c r="A11" s="3">
        <v>6</v>
      </c>
      <c r="B11" s="10"/>
      <c r="C11" s="3" t="s">
        <v>26</v>
      </c>
      <c r="D11" s="4">
        <f>SUM(D12:D16)</f>
        <v>1588809.51</v>
      </c>
      <c r="E11" s="4">
        <f>SUM(E12:E16)</f>
        <v>1973380</v>
      </c>
      <c r="F11" s="4">
        <f>SUM(F12:F16)</f>
        <v>2120760</v>
      </c>
      <c r="G11" s="4">
        <f>SUM(G12:G16)</f>
        <v>1870760</v>
      </c>
      <c r="H11" s="4">
        <f>SUM(H12:H16)</f>
        <v>1870760</v>
      </c>
    </row>
    <row r="12" spans="1:8" ht="24" x14ac:dyDescent="0.25">
      <c r="A12" s="5"/>
      <c r="B12" s="5">
        <v>63</v>
      </c>
      <c r="C12" s="7" t="s">
        <v>27</v>
      </c>
      <c r="D12" s="8">
        <v>1182960.18</v>
      </c>
      <c r="E12" s="8">
        <v>1378730</v>
      </c>
      <c r="F12" s="8">
        <v>1398800</v>
      </c>
      <c r="G12" s="6">
        <f t="shared" ref="G12:H15" si="0">F12</f>
        <v>1398800</v>
      </c>
      <c r="H12" s="6">
        <f t="shared" si="0"/>
        <v>1398800</v>
      </c>
    </row>
    <row r="13" spans="1:8" x14ac:dyDescent="0.25">
      <c r="A13" s="5"/>
      <c r="B13" s="5">
        <v>64</v>
      </c>
      <c r="C13" s="7" t="s">
        <v>28</v>
      </c>
      <c r="D13" s="8">
        <v>0.18</v>
      </c>
      <c r="E13" s="8">
        <v>10</v>
      </c>
      <c r="F13" s="8">
        <v>20010</v>
      </c>
      <c r="G13" s="6">
        <f t="shared" si="0"/>
        <v>20010</v>
      </c>
      <c r="H13" s="6">
        <f t="shared" si="0"/>
        <v>20010</v>
      </c>
    </row>
    <row r="14" spans="1:8" ht="24" x14ac:dyDescent="0.25">
      <c r="A14" s="5"/>
      <c r="B14" s="5">
        <v>65</v>
      </c>
      <c r="C14" s="7" t="s">
        <v>29</v>
      </c>
      <c r="D14" s="8">
        <v>21837.1</v>
      </c>
      <c r="E14" s="8">
        <v>20000</v>
      </c>
      <c r="F14" s="8">
        <v>33000</v>
      </c>
      <c r="G14" s="6">
        <f t="shared" si="0"/>
        <v>33000</v>
      </c>
      <c r="H14" s="6">
        <f t="shared" si="0"/>
        <v>33000</v>
      </c>
    </row>
    <row r="15" spans="1:8" ht="24" x14ac:dyDescent="0.25">
      <c r="A15" s="5"/>
      <c r="B15" s="5">
        <v>66</v>
      </c>
      <c r="C15" s="7" t="s">
        <v>30</v>
      </c>
      <c r="D15" s="8">
        <v>2147.5</v>
      </c>
      <c r="E15" s="8">
        <v>0</v>
      </c>
      <c r="F15" s="8">
        <v>5930</v>
      </c>
      <c r="G15" s="6">
        <f t="shared" si="0"/>
        <v>5930</v>
      </c>
      <c r="H15" s="6">
        <f t="shared" si="0"/>
        <v>5930</v>
      </c>
    </row>
    <row r="16" spans="1:8" ht="24" x14ac:dyDescent="0.25">
      <c r="A16" s="5"/>
      <c r="B16" s="5">
        <v>67</v>
      </c>
      <c r="C16" s="7" t="s">
        <v>31</v>
      </c>
      <c r="D16" s="8">
        <v>381864.55</v>
      </c>
      <c r="E16" s="8">
        <v>574640</v>
      </c>
      <c r="F16" s="8">
        <v>663020</v>
      </c>
      <c r="G16" s="6">
        <f>F16-SUMIFS('Podaci 5. razina'!$L$4:$L$140,'Podaci 5. razina'!$B$4:$B$140,"18057")+SUMIFS('Podaci 5. razina'!$M$4:$M$140,'Podaci 5. razina'!$B$4:$B$140,"18057")</f>
        <v>413020</v>
      </c>
      <c r="H16" s="6">
        <f>G16-SUMIFS('Podaci 5. razina'!$M$4:$M$140,'Podaci 5. razina'!$B$4:$B$140,"18057")+SUMIFS('Podaci 5. razina'!$N$4:$N$140,'Podaci 5. razina'!$B$4:$B$140,"18057")</f>
        <v>413020</v>
      </c>
    </row>
    <row r="17" spans="1:8" x14ac:dyDescent="0.25">
      <c r="A17" s="3">
        <v>7</v>
      </c>
      <c r="B17" s="10"/>
      <c r="C17" s="3" t="s">
        <v>32</v>
      </c>
      <c r="D17" s="4">
        <f>D18</f>
        <v>26.64</v>
      </c>
      <c r="E17" s="4">
        <f>E18</f>
        <v>90</v>
      </c>
      <c r="F17" s="4">
        <f>F18</f>
        <v>90</v>
      </c>
      <c r="G17" s="4">
        <f>G18</f>
        <v>90</v>
      </c>
      <c r="H17" s="4">
        <f>H18</f>
        <v>90</v>
      </c>
    </row>
    <row r="18" spans="1:8" x14ac:dyDescent="0.25">
      <c r="A18" s="5"/>
      <c r="B18" s="5">
        <v>72</v>
      </c>
      <c r="C18" s="5" t="s">
        <v>33</v>
      </c>
      <c r="D18" s="8">
        <v>26.64</v>
      </c>
      <c r="E18" s="8">
        <v>90</v>
      </c>
      <c r="F18" s="8">
        <v>90</v>
      </c>
      <c r="G18" s="6">
        <f>F18</f>
        <v>90</v>
      </c>
      <c r="H18" s="6">
        <f>G18</f>
        <v>90</v>
      </c>
    </row>
    <row r="19" spans="1:8" x14ac:dyDescent="0.25">
      <c r="C19" s="3" t="s">
        <v>9</v>
      </c>
      <c r="D19" s="4">
        <f>D11+D17</f>
        <v>1588836.15</v>
      </c>
      <c r="E19" s="4">
        <f>E11+E17</f>
        <v>1973470</v>
      </c>
      <c r="F19" s="4">
        <f>F11+F17</f>
        <v>2120850</v>
      </c>
      <c r="G19" s="4">
        <f>G11+G17</f>
        <v>1870850</v>
      </c>
      <c r="H19" s="4">
        <f>H11+H17</f>
        <v>1870850</v>
      </c>
    </row>
    <row r="21" spans="1:8" hidden="1" x14ac:dyDescent="0.25"/>
    <row r="22" spans="1:8" ht="15" customHeight="1" x14ac:dyDescent="0.25">
      <c r="A22" s="26" t="s">
        <v>34</v>
      </c>
      <c r="B22" s="26"/>
      <c r="C22" s="26"/>
      <c r="D22" s="26"/>
      <c r="E22" s="26"/>
      <c r="F22" s="26"/>
      <c r="G22" s="26"/>
      <c r="H22" s="26"/>
    </row>
    <row r="24" spans="1:8" ht="30" customHeight="1" x14ac:dyDescent="0.25">
      <c r="A24" s="2" t="s">
        <v>23</v>
      </c>
      <c r="B24" s="2" t="s">
        <v>24</v>
      </c>
      <c r="C24" s="2" t="s">
        <v>35</v>
      </c>
      <c r="D24" s="2" t="s">
        <v>4</v>
      </c>
      <c r="E24" s="2" t="s">
        <v>5</v>
      </c>
      <c r="F24" s="2" t="s">
        <v>6</v>
      </c>
      <c r="G24" s="2" t="s">
        <v>7</v>
      </c>
      <c r="H24" s="2" t="s">
        <v>8</v>
      </c>
    </row>
    <row r="25" spans="1:8" x14ac:dyDescent="0.25">
      <c r="A25" s="3">
        <v>3</v>
      </c>
      <c r="B25" s="10"/>
      <c r="C25" s="3" t="s">
        <v>36</v>
      </c>
      <c r="D25" s="4">
        <f>SUM(D26:D30)</f>
        <v>1677586.25</v>
      </c>
      <c r="E25" s="4">
        <f>SUM(E26:E30)</f>
        <v>1803710</v>
      </c>
      <c r="F25" s="4">
        <f>SUM(F26:F30)</f>
        <v>1825090</v>
      </c>
      <c r="G25" s="4">
        <f>SUM(G26:G30)</f>
        <v>1825090</v>
      </c>
      <c r="H25" s="4">
        <f>SUM(H26:H30)</f>
        <v>1825090</v>
      </c>
    </row>
    <row r="26" spans="1:8" x14ac:dyDescent="0.25">
      <c r="A26" s="5"/>
      <c r="B26" s="5">
        <v>31</v>
      </c>
      <c r="C26" s="7" t="s">
        <v>37</v>
      </c>
      <c r="D26" s="6">
        <f>SUMIFS('Podaci 5. razina'!$J$4:$J$140,'Podaci 5. razina'!$I$4:$I$140,"31")</f>
        <v>1334783.52</v>
      </c>
      <c r="E26" s="6">
        <f>SUMIFS('Podaci 5. razina'!$K$4:$K$140,'Podaci 5. razina'!$I$4:$I$140,"31")</f>
        <v>1422500</v>
      </c>
      <c r="F26" s="6">
        <f>SUMIFS('Podaci 5. razina'!$L$4:$L$140,'Podaci 5. razina'!$I$4:$I$140,"31")</f>
        <v>1405100</v>
      </c>
      <c r="G26" s="6">
        <f>SUMIFS('Podaci 5. razina'!$M$4:$M$140,'Podaci 5. razina'!$I$4:$I$140,"31")</f>
        <v>1405100</v>
      </c>
      <c r="H26" s="6">
        <f>SUMIFS('Podaci 5. razina'!$N$4:$N$140,'Podaci 5. razina'!$I$4:$I$140,"31")</f>
        <v>1405100</v>
      </c>
    </row>
    <row r="27" spans="1:8" x14ac:dyDescent="0.25">
      <c r="A27" s="5"/>
      <c r="B27" s="5">
        <v>32</v>
      </c>
      <c r="C27" s="7" t="s">
        <v>38</v>
      </c>
      <c r="D27" s="6">
        <f>SUMIFS('Podaci 5. razina'!$J$4:$J$140,'Podaci 5. razina'!$I$4:$I$140,"32")</f>
        <v>265551.79000000004</v>
      </c>
      <c r="E27" s="6">
        <f>SUMIFS('Podaci 5. razina'!$K$4:$K$140,'Podaci 5. razina'!$I$4:$I$140,"32")</f>
        <v>324980</v>
      </c>
      <c r="F27" s="6">
        <f>SUMIFS('Podaci 5. razina'!$L$4:$L$140,'Podaci 5. razina'!$I$4:$I$140,"32")</f>
        <v>333760</v>
      </c>
      <c r="G27" s="6">
        <f>SUMIFS('Podaci 5. razina'!$M$4:$M$140,'Podaci 5. razina'!$I$4:$I$140,"32")</f>
        <v>333760</v>
      </c>
      <c r="H27" s="6">
        <f>SUMIFS('Podaci 5. razina'!$N$4:$N$140,'Podaci 5. razina'!$I$4:$I$140,"32")</f>
        <v>333760</v>
      </c>
    </row>
    <row r="28" spans="1:8" x14ac:dyDescent="0.25">
      <c r="A28" s="5"/>
      <c r="B28" s="5">
        <v>34</v>
      </c>
      <c r="C28" s="7" t="s">
        <v>39</v>
      </c>
      <c r="D28" s="6">
        <f>SUMIFS('Podaci 5. razina'!$J$4:$J$140,'Podaci 5. razina'!$I$4:$I$140,"34")</f>
        <v>500</v>
      </c>
      <c r="E28" s="6">
        <f>SUMIFS('Podaci 5. razina'!$K$4:$K$140,'Podaci 5. razina'!$I$4:$I$140,"34")</f>
        <v>500</v>
      </c>
      <c r="F28" s="6">
        <f>SUMIFS('Podaci 5. razina'!$L$4:$L$140,'Podaci 5. razina'!$I$4:$I$140,"34")</f>
        <v>500</v>
      </c>
      <c r="G28" s="6">
        <f>SUMIFS('Podaci 5. razina'!$M$4:$M$140,'Podaci 5. razina'!$I$4:$I$140,"34")</f>
        <v>500</v>
      </c>
      <c r="H28" s="6">
        <f>SUMIFS('Podaci 5. razina'!$N$4:$N$140,'Podaci 5. razina'!$I$4:$I$140,"34")</f>
        <v>500</v>
      </c>
    </row>
    <row r="29" spans="1:8" ht="24" x14ac:dyDescent="0.25">
      <c r="A29" s="5"/>
      <c r="B29" s="5">
        <v>37</v>
      </c>
      <c r="C29" s="7" t="s">
        <v>40</v>
      </c>
      <c r="D29" s="6">
        <f>SUMIFS('Podaci 5. razina'!$J$4:$J$140,'Podaci 5. razina'!$I$4:$I$140,"37")</f>
        <v>76003.95</v>
      </c>
      <c r="E29" s="6">
        <f>SUMIFS('Podaci 5. razina'!$K$4:$K$140,'Podaci 5. razina'!$I$4:$I$140,"37")</f>
        <v>55000</v>
      </c>
      <c r="F29" s="6">
        <f>SUMIFS('Podaci 5. razina'!$L$4:$L$140,'Podaci 5. razina'!$I$4:$I$140,"37")</f>
        <v>85000</v>
      </c>
      <c r="G29" s="6">
        <f>SUMIFS('Podaci 5. razina'!$M$4:$M$140,'Podaci 5. razina'!$I$4:$I$140,"37")</f>
        <v>85000</v>
      </c>
      <c r="H29" s="6">
        <f>SUMIFS('Podaci 5. razina'!$N$4:$N$140,'Podaci 5. razina'!$I$4:$I$140,"37")</f>
        <v>85000</v>
      </c>
    </row>
    <row r="30" spans="1:8" x14ac:dyDescent="0.25">
      <c r="A30" s="5"/>
      <c r="B30" s="5">
        <v>38</v>
      </c>
      <c r="C30" s="7" t="s">
        <v>41</v>
      </c>
      <c r="D30" s="6">
        <f>SUMIFS('Podaci 5. razina'!$J$4:$J$140,'Podaci 5. razina'!$I$4:$I$140,"38")</f>
        <v>746.99</v>
      </c>
      <c r="E30" s="6">
        <f>SUMIFS('Podaci 5. razina'!$K$4:$K$140,'Podaci 5. razina'!$I$4:$I$140,"38")</f>
        <v>730</v>
      </c>
      <c r="F30" s="6">
        <f>SUMIFS('Podaci 5. razina'!$L$4:$L$140,'Podaci 5. razina'!$I$4:$I$140,"38")</f>
        <v>730</v>
      </c>
      <c r="G30" s="6">
        <f>SUMIFS('Podaci 5. razina'!$M$4:$M$140,'Podaci 5. razina'!$I$4:$I$140,"38")</f>
        <v>730</v>
      </c>
      <c r="H30" s="6">
        <f>SUMIFS('Podaci 5. razina'!$N$4:$N$140,'Podaci 5. razina'!$I$4:$I$140,"38")</f>
        <v>730</v>
      </c>
    </row>
    <row r="31" spans="1:8" x14ac:dyDescent="0.25">
      <c r="A31" s="3">
        <v>4</v>
      </c>
      <c r="B31" s="10"/>
      <c r="C31" s="3" t="s">
        <v>42</v>
      </c>
      <c r="D31" s="4">
        <f>SUM(D32:D32)</f>
        <v>36529.74</v>
      </c>
      <c r="E31" s="4">
        <f>SUM(E32:E32)</f>
        <v>169760</v>
      </c>
      <c r="F31" s="4">
        <f>SUM(F32:F32)</f>
        <v>295760</v>
      </c>
      <c r="G31" s="4">
        <f>SUM(G32:G32)</f>
        <v>45760</v>
      </c>
      <c r="H31" s="4">
        <f>SUM(H32:H32)</f>
        <v>45760</v>
      </c>
    </row>
    <row r="32" spans="1:8" x14ac:dyDescent="0.25">
      <c r="A32" s="5"/>
      <c r="B32" s="5">
        <v>42</v>
      </c>
      <c r="C32" s="7" t="s">
        <v>43</v>
      </c>
      <c r="D32" s="6">
        <f>SUMIFS('Podaci 5. razina'!$J$4:$J$140,'Podaci 5. razina'!$I$4:$I$140,"42")</f>
        <v>36529.74</v>
      </c>
      <c r="E32" s="6">
        <f>SUMIFS('Podaci 5. razina'!$K$4:$K$140,'Podaci 5. razina'!$I$4:$I$140,"42")</f>
        <v>169760</v>
      </c>
      <c r="F32" s="6">
        <f>SUMIFS('Podaci 5. razina'!$L$4:$L$140,'Podaci 5. razina'!$I$4:$I$140,"42")</f>
        <v>295760</v>
      </c>
      <c r="G32" s="6">
        <f>SUMIFS('Podaci 5. razina'!$M$4:$M$140,'Podaci 5. razina'!$I$4:$I$140,"42")</f>
        <v>45760</v>
      </c>
      <c r="H32" s="6">
        <f>SUMIFS('Podaci 5. razina'!$N$4:$N$140,'Podaci 5. razina'!$I$4:$I$140,"42")</f>
        <v>45760</v>
      </c>
    </row>
    <row r="33" spans="3:8" x14ac:dyDescent="0.25">
      <c r="C33" s="3" t="s">
        <v>12</v>
      </c>
      <c r="D33" s="4">
        <f>D25+D31</f>
        <v>1714115.99</v>
      </c>
      <c r="E33" s="4">
        <f>E25+E31</f>
        <v>1973470</v>
      </c>
      <c r="F33" s="4">
        <f>F25+F31</f>
        <v>2120850</v>
      </c>
      <c r="G33" s="4">
        <f>G25+G31</f>
        <v>1870850</v>
      </c>
      <c r="H33" s="4">
        <f>H25+H31</f>
        <v>1870850</v>
      </c>
    </row>
    <row r="34" spans="3:8" x14ac:dyDescent="0.25">
      <c r="C34" s="11" t="s">
        <v>44</v>
      </c>
      <c r="D34" s="12">
        <f>D19-D33</f>
        <v>-125279.84000000008</v>
      </c>
      <c r="E34" s="12">
        <f>E19-E33</f>
        <v>0</v>
      </c>
      <c r="F34" s="12">
        <f>F19-F33</f>
        <v>0</v>
      </c>
      <c r="G34" s="12">
        <f>G19-G33</f>
        <v>0</v>
      </c>
      <c r="H34" s="12">
        <f>H19-H33</f>
        <v>0</v>
      </c>
    </row>
  </sheetData>
  <mergeCells count="5">
    <mergeCell ref="A1:H1"/>
    <mergeCell ref="A3:H3"/>
    <mergeCell ref="A5:H5"/>
    <mergeCell ref="A7:H7"/>
    <mergeCell ref="A22:H22"/>
  </mergeCells>
  <pageMargins left="0.75" right="0.75" top="1" bottom="1" header="0.511811023622047" footer="0.511811023622047"/>
  <pageSetup scale="84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5"/>
  <sheetViews>
    <sheetView showGridLines="0" zoomScaleNormal="100" workbookViewId="0">
      <selection activeCell="A2" sqref="A1:F1048576"/>
    </sheetView>
  </sheetViews>
  <sheetFormatPr defaultColWidth="8.7109375" defaultRowHeight="15" x14ac:dyDescent="0.25"/>
  <cols>
    <col min="1" max="1" width="60" customWidth="1"/>
    <col min="2" max="6" width="16" customWidth="1"/>
  </cols>
  <sheetData>
    <row r="1" spans="1:6" ht="31.5" customHeight="1" x14ac:dyDescent="0.25">
      <c r="A1" s="25" t="s">
        <v>0</v>
      </c>
      <c r="B1" s="25"/>
      <c r="C1" s="25"/>
      <c r="D1" s="25"/>
      <c r="E1" s="25"/>
      <c r="F1" s="25"/>
    </row>
    <row r="3" spans="1:6" ht="15" customHeight="1" x14ac:dyDescent="0.25">
      <c r="A3" s="26" t="s">
        <v>1</v>
      </c>
      <c r="B3" s="26"/>
      <c r="C3" s="26"/>
      <c r="D3" s="26"/>
      <c r="E3" s="26"/>
      <c r="F3" s="26"/>
    </row>
    <row r="5" spans="1:6" ht="15" customHeight="1" x14ac:dyDescent="0.25">
      <c r="A5" s="26" t="s">
        <v>21</v>
      </c>
      <c r="B5" s="26"/>
      <c r="C5" s="26"/>
      <c r="D5" s="26"/>
      <c r="E5" s="26"/>
      <c r="F5" s="26"/>
    </row>
    <row r="7" spans="1:6" ht="15" customHeight="1" x14ac:dyDescent="0.25">
      <c r="A7" s="26" t="s">
        <v>45</v>
      </c>
      <c r="B7" s="26"/>
      <c r="C7" s="26"/>
      <c r="D7" s="26"/>
      <c r="E7" s="26"/>
      <c r="F7" s="26"/>
    </row>
    <row r="10" spans="1:6" ht="30" customHeight="1" x14ac:dyDescent="0.25">
      <c r="A10" s="2" t="s">
        <v>46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</row>
    <row r="11" spans="1:6" x14ac:dyDescent="0.25">
      <c r="A11" s="3" t="s">
        <v>9</v>
      </c>
      <c r="B11" s="4">
        <f>B12</f>
        <v>1588836.15</v>
      </c>
      <c r="C11" s="4">
        <f>C12</f>
        <v>1973470</v>
      </c>
      <c r="D11" s="4">
        <f>D12</f>
        <v>2120850</v>
      </c>
      <c r="E11" s="4">
        <f>E12</f>
        <v>1870850</v>
      </c>
      <c r="F11" s="4">
        <f>F12</f>
        <v>1870850</v>
      </c>
    </row>
    <row r="12" spans="1:6" x14ac:dyDescent="0.25">
      <c r="A12" s="3" t="s">
        <v>47</v>
      </c>
      <c r="B12" s="4">
        <f>SUM(B13:B20)</f>
        <v>1588836.15</v>
      </c>
      <c r="C12" s="4">
        <f>SUM(C13:C20)</f>
        <v>1973470</v>
      </c>
      <c r="D12" s="4">
        <f>SUM(D13:D20)</f>
        <v>2120850</v>
      </c>
      <c r="E12" s="4">
        <f>SUM(E13:E20)</f>
        <v>1870850</v>
      </c>
      <c r="F12" s="4">
        <f>SUM(F13:F20)</f>
        <v>1870850</v>
      </c>
    </row>
    <row r="13" spans="1:6" x14ac:dyDescent="0.25">
      <c r="A13" s="7" t="s">
        <v>48</v>
      </c>
      <c r="B13" s="8">
        <v>284372</v>
      </c>
      <c r="C13" s="6">
        <f>SUMIFS('Podaci 5. razina'!$K$4:$K$140,'Podaci 5. razina'!$D$4:$D$140,"11")</f>
        <v>468450</v>
      </c>
      <c r="D13" s="6">
        <f>SUMIFS('Podaci 5. razina'!$L$4:$L$140,'Podaci 5. razina'!$D$4:$D$140,"11")</f>
        <v>533800</v>
      </c>
      <c r="E13" s="6">
        <f>SUMIFS('Podaci 5. razina'!$M$4:$M$140,'Podaci 5. razina'!$D$4:$D$140,"11")</f>
        <v>283800</v>
      </c>
      <c r="F13" s="6">
        <f>SUMIFS('Podaci 5. razina'!$N$4:$N$140,'Podaci 5. razina'!$D$4:$D$140,"11")</f>
        <v>283800</v>
      </c>
    </row>
    <row r="14" spans="1:6" x14ac:dyDescent="0.25">
      <c r="A14" s="7" t="s">
        <v>49</v>
      </c>
      <c r="B14" s="8">
        <v>70461.539999999994</v>
      </c>
      <c r="C14" s="6">
        <f>SUMIFS('Podaci 5. razina'!$K$4:$K$140,'Podaci 5. razina'!$D$4:$D$140,"112")</f>
        <v>56400</v>
      </c>
      <c r="D14" s="6">
        <f>SUMIFS('Podaci 5. razina'!$L$4:$L$140,'Podaci 5. razina'!$D$4:$D$140,"112")</f>
        <v>52400</v>
      </c>
      <c r="E14" s="6">
        <f>SUMIFS('Podaci 5. razina'!$M$4:$M$140,'Podaci 5. razina'!$D$4:$D$140,"112")</f>
        <v>52400</v>
      </c>
      <c r="F14" s="6">
        <f>SUMIFS('Podaci 5. razina'!$N$4:$N$140,'Podaci 5. razina'!$D$4:$D$140,"112")</f>
        <v>52400</v>
      </c>
    </row>
    <row r="15" spans="1:6" x14ac:dyDescent="0.25">
      <c r="A15" s="7" t="s">
        <v>50</v>
      </c>
      <c r="B15" s="8">
        <v>26.82</v>
      </c>
      <c r="C15" s="6">
        <f>SUMIFS('Podaci 5. razina'!$K$4:$K$140,'Podaci 5. razina'!$D$4:$D$140,"312")</f>
        <v>100</v>
      </c>
      <c r="D15" s="6">
        <f>SUMIFS('Podaci 5. razina'!$L$4:$L$140,'Podaci 5. razina'!$D$4:$D$140,"312")</f>
        <v>20100</v>
      </c>
      <c r="E15" s="6">
        <f>SUMIFS('Podaci 5. razina'!$M$4:$M$140,'Podaci 5. razina'!$D$4:$D$140,"312")</f>
        <v>20100</v>
      </c>
      <c r="F15" s="6">
        <f>SUMIFS('Podaci 5. razina'!$N$4:$N$140,'Podaci 5. razina'!$D$4:$D$140,"312")</f>
        <v>20100</v>
      </c>
    </row>
    <row r="16" spans="1:6" x14ac:dyDescent="0.25">
      <c r="A16" s="7" t="s">
        <v>51</v>
      </c>
      <c r="B16" s="8">
        <v>21837.1</v>
      </c>
      <c r="C16" s="6">
        <f>SUMIFS('Podaci 5. razina'!$K$4:$K$140,'Podaci 5. razina'!$D$4:$D$140,"436")</f>
        <v>20000</v>
      </c>
      <c r="D16" s="6">
        <f>SUMIFS('Podaci 5. razina'!$L$4:$L$140,'Podaci 5. razina'!$D$4:$D$140,"436")</f>
        <v>33000</v>
      </c>
      <c r="E16" s="6">
        <f>SUMIFS('Podaci 5. razina'!$M$4:$M$140,'Podaci 5. razina'!$D$4:$D$140,"436")</f>
        <v>33000</v>
      </c>
      <c r="F16" s="6">
        <f>SUMIFS('Podaci 5. razina'!$N$4:$N$140,'Podaci 5. razina'!$D$4:$D$140,"436")</f>
        <v>33000</v>
      </c>
    </row>
    <row r="17" spans="1:6" x14ac:dyDescent="0.25">
      <c r="A17" s="7" t="s">
        <v>52</v>
      </c>
      <c r="B17" s="8">
        <v>1182960.18</v>
      </c>
      <c r="C17" s="6">
        <f>SUMIFS('Podaci 5. razina'!$K$4:$K$140,'Podaci 5. razina'!$D$4:$D$140,"5011")</f>
        <v>1393370</v>
      </c>
      <c r="D17" s="6">
        <f>SUMIFS('Podaci 5. razina'!$L$4:$L$140,'Podaci 5. razina'!$D$4:$D$140,"5011")</f>
        <v>1447870</v>
      </c>
      <c r="E17" s="6">
        <f>SUMIFS('Podaci 5. razina'!$M$4:$M$140,'Podaci 5. razina'!$D$4:$D$140,"5011")</f>
        <v>1447870</v>
      </c>
      <c r="F17" s="6">
        <f>SUMIFS('Podaci 5. razina'!$N$4:$N$140,'Podaci 5. razina'!$D$4:$D$140,"5011")</f>
        <v>1447870</v>
      </c>
    </row>
    <row r="18" spans="1:6" x14ac:dyDescent="0.25">
      <c r="A18" s="7" t="s">
        <v>53</v>
      </c>
      <c r="B18" s="8">
        <v>2147.5</v>
      </c>
      <c r="C18" s="6">
        <f>SUMIFS('Podaci 5. razina'!$K$4:$K$140,'Podaci 5. razina'!$D$4:$D$140,"55")</f>
        <v>5930</v>
      </c>
      <c r="D18" s="6">
        <f>SUMIFS('Podaci 5. razina'!$L$4:$L$140,'Podaci 5. razina'!$D$4:$D$140,"55")</f>
        <v>5930</v>
      </c>
      <c r="E18" s="6">
        <f>SUMIFS('Podaci 5. razina'!$M$4:$M$140,'Podaci 5. razina'!$D$4:$D$140,"55")</f>
        <v>5930</v>
      </c>
      <c r="F18" s="6">
        <f>SUMIFS('Podaci 5. razina'!$N$4:$N$140,'Podaci 5. razina'!$D$4:$D$140,"55")</f>
        <v>5930</v>
      </c>
    </row>
    <row r="19" spans="1:6" x14ac:dyDescent="0.25">
      <c r="A19" s="7" t="s">
        <v>54</v>
      </c>
      <c r="B19" s="8">
        <v>25211.01</v>
      </c>
      <c r="C19" s="6">
        <f>SUMIFS('Podaci 5. razina'!$K$4:$K$140,'Podaci 5. razina'!$D$4:$D$140,"561")</f>
        <v>27220</v>
      </c>
      <c r="D19" s="6">
        <f>SUMIFS('Podaci 5. razina'!$L$4:$L$140,'Podaci 5. razina'!$D$4:$D$140,"561")</f>
        <v>25750</v>
      </c>
      <c r="E19" s="6">
        <f>SUMIFS('Podaci 5. razina'!$M$4:$M$140,'Podaci 5. razina'!$D$4:$D$140,"561")</f>
        <v>25750</v>
      </c>
      <c r="F19" s="6">
        <f>SUMIFS('Podaci 5. razina'!$N$4:$N$140,'Podaci 5. razina'!$D$4:$D$140,"561")</f>
        <v>25750</v>
      </c>
    </row>
    <row r="20" spans="1:6" x14ac:dyDescent="0.25">
      <c r="A20" s="7" t="s">
        <v>55</v>
      </c>
      <c r="B20" s="8">
        <v>1820</v>
      </c>
      <c r="C20" s="6">
        <f>SUMIFS('Podaci 5. razina'!$K$4:$K$140,'Podaci 5. razina'!$D$4:$D$140,"565")</f>
        <v>2000</v>
      </c>
      <c r="D20" s="6">
        <f>SUMIFS('Podaci 5. razina'!$L$4:$L$140,'Podaci 5. razina'!$D$4:$D$140,"565")</f>
        <v>2000</v>
      </c>
      <c r="E20" s="6">
        <f>SUMIFS('Podaci 5. razina'!$M$4:$M$140,'Podaci 5. razina'!$D$4:$D$140,"565")</f>
        <v>2000</v>
      </c>
      <c r="F20" s="6">
        <f>SUMIFS('Podaci 5. razina'!$N$4:$N$140,'Podaci 5. razina'!$D$4:$D$140,"565")</f>
        <v>2000</v>
      </c>
    </row>
    <row r="23" spans="1:6" ht="15" customHeight="1" x14ac:dyDescent="0.25">
      <c r="A23" s="26" t="s">
        <v>56</v>
      </c>
      <c r="B23" s="26"/>
      <c r="C23" s="26"/>
      <c r="D23" s="26"/>
      <c r="E23" s="26"/>
      <c r="F23" s="26"/>
    </row>
    <row r="25" spans="1:6" ht="30" customHeight="1" x14ac:dyDescent="0.25">
      <c r="A25" s="2" t="s">
        <v>46</v>
      </c>
      <c r="B25" s="2" t="s">
        <v>4</v>
      </c>
      <c r="C25" s="2" t="s">
        <v>5</v>
      </c>
      <c r="D25" s="2" t="s">
        <v>6</v>
      </c>
      <c r="E25" s="2" t="s">
        <v>7</v>
      </c>
      <c r="F25" s="2" t="s">
        <v>8</v>
      </c>
    </row>
    <row r="26" spans="1:6" x14ac:dyDescent="0.25">
      <c r="A26" s="3" t="s">
        <v>12</v>
      </c>
      <c r="B26" s="4">
        <f>B27+B38</f>
        <v>1714115.99</v>
      </c>
      <c r="C26" s="4">
        <f>C27+C38</f>
        <v>1973470</v>
      </c>
      <c r="D26" s="4">
        <f>D27+D38</f>
        <v>2120850</v>
      </c>
      <c r="E26" s="4">
        <f>E27+E38</f>
        <v>1870850</v>
      </c>
      <c r="F26" s="4">
        <f>F27+F38</f>
        <v>1870850</v>
      </c>
    </row>
    <row r="27" spans="1:6" x14ac:dyDescent="0.25">
      <c r="A27" s="3" t="s">
        <v>36</v>
      </c>
      <c r="B27" s="4">
        <f>SUM(B28:B37)</f>
        <v>1677586.25</v>
      </c>
      <c r="C27" s="4">
        <f>SUM(C28:C37)</f>
        <v>1803710</v>
      </c>
      <c r="D27" s="4">
        <f>SUM(D28:D37)</f>
        <v>1825090</v>
      </c>
      <c r="E27" s="4">
        <f>SUM(E28:E37)</f>
        <v>1825090</v>
      </c>
      <c r="F27" s="4">
        <f>SUM(F28:F37)</f>
        <v>1825090</v>
      </c>
    </row>
    <row r="28" spans="1:6" x14ac:dyDescent="0.25">
      <c r="A28" s="7" t="s">
        <v>48</v>
      </c>
      <c r="B28" s="6">
        <f>SUMIFS('Podaci 5. razina'!$J$4:$J$140,'Podaci 5. razina'!$D$4:$D$140,"11",'Podaci 5. razina'!$H$4:$H$140,"3")</f>
        <v>259177.60000000001</v>
      </c>
      <c r="C28" s="6">
        <f>SUMIFS('Podaci 5. razina'!$K$4:$K$140,'Podaci 5. razina'!$D$4:$D$140,"11",'Podaci 5. razina'!$H$4:$H$140,"3")</f>
        <v>328450</v>
      </c>
      <c r="D28" s="6">
        <f>SUMIFS('Podaci 5. razina'!$L$4:$L$140,'Podaci 5. razina'!$D$4:$D$140,"11",'Podaci 5. razina'!$H$4:$H$140,"3")</f>
        <v>283800</v>
      </c>
      <c r="E28" s="6">
        <f>SUMIFS('Podaci 5. razina'!$M$4:$M$140,'Podaci 5. razina'!$D$4:$D$140,"11",'Podaci 5. razina'!$H$4:$H$140,"3")</f>
        <v>283800</v>
      </c>
      <c r="F28" s="6">
        <f>SUMIFS('Podaci 5. razina'!$N$4:$N$140,'Podaci 5. razina'!$D$4:$D$140,"11",'Podaci 5. razina'!$H$4:$H$140,"3")</f>
        <v>283800</v>
      </c>
    </row>
    <row r="29" spans="1:6" x14ac:dyDescent="0.25">
      <c r="A29" s="7" t="s">
        <v>49</v>
      </c>
      <c r="B29" s="6">
        <f>SUMIFS('Podaci 5. razina'!$J$4:$J$140,'Podaci 5. razina'!$D$4:$D$140,"112",'Podaci 5. razina'!$H$4:$H$140,"3")</f>
        <v>72000</v>
      </c>
      <c r="C29" s="6">
        <f>SUMIFS('Podaci 5. razina'!$K$4:$K$140,'Podaci 5. razina'!$D$4:$D$140,"112",'Podaci 5. razina'!$H$4:$H$140,"3")</f>
        <v>56400</v>
      </c>
      <c r="D29" s="6">
        <f>SUMIFS('Podaci 5. razina'!$L$4:$L$140,'Podaci 5. razina'!$D$4:$D$140,"112",'Podaci 5. razina'!$H$4:$H$140,"3")</f>
        <v>52400</v>
      </c>
      <c r="E29" s="6">
        <f>SUMIFS('Podaci 5. razina'!$M$4:$M$140,'Podaci 5. razina'!$D$4:$D$140,"112",'Podaci 5. razina'!$H$4:$H$140,"3")</f>
        <v>52400</v>
      </c>
      <c r="F29" s="6">
        <f>SUMIFS('Podaci 5. razina'!$N$4:$N$140,'Podaci 5. razina'!$D$4:$D$140,"112",'Podaci 5. razina'!$H$4:$H$140,"3")</f>
        <v>52400</v>
      </c>
    </row>
    <row r="30" spans="1:6" x14ac:dyDescent="0.25">
      <c r="A30" s="7" t="s">
        <v>50</v>
      </c>
      <c r="B30" s="6">
        <f>SUMIFS('Podaci 5. razina'!$J$4:$J$140,'Podaci 5. razina'!$D$4:$D$140,"312",'Podaci 5. razina'!$H$4:$H$140,"3")</f>
        <v>0</v>
      </c>
      <c r="C30" s="6">
        <f>SUMIFS('Podaci 5. razina'!$K$4:$K$140,'Podaci 5. razina'!$D$4:$D$140,"312",'Podaci 5. razina'!$H$4:$H$140,"3")</f>
        <v>10</v>
      </c>
      <c r="D30" s="6">
        <f>SUMIFS('Podaci 5. razina'!$L$4:$L$140,'Podaci 5. razina'!$D$4:$D$140,"312",'Podaci 5. razina'!$H$4:$H$140,"3")</f>
        <v>5010</v>
      </c>
      <c r="E30" s="6">
        <f>SUMIFS('Podaci 5. razina'!$M$4:$M$140,'Podaci 5. razina'!$D$4:$D$140,"312",'Podaci 5. razina'!$H$4:$H$140,"3")</f>
        <v>5010</v>
      </c>
      <c r="F30" s="6">
        <f>SUMIFS('Podaci 5. razina'!$N$4:$N$140,'Podaci 5. razina'!$D$4:$D$140,"312",'Podaci 5. razina'!$H$4:$H$140,"3")</f>
        <v>5010</v>
      </c>
    </row>
    <row r="31" spans="1:6" x14ac:dyDescent="0.25">
      <c r="A31" s="7" t="s">
        <v>51</v>
      </c>
      <c r="B31" s="6">
        <f>SUMIFS('Podaci 5. razina'!$J$4:$J$140,'Podaci 5. razina'!$D$4:$D$140,"436",'Podaci 5. razina'!$H$4:$H$140,"3")</f>
        <v>24644.1</v>
      </c>
      <c r="C31" s="6">
        <f>SUMIFS('Podaci 5. razina'!$K$4:$K$140,'Podaci 5. razina'!$D$4:$D$140,"436",'Podaci 5. razina'!$H$4:$H$140,"3")</f>
        <v>20000</v>
      </c>
      <c r="D31" s="6">
        <f>SUMIFS('Podaci 5. razina'!$L$4:$L$140,'Podaci 5. razina'!$D$4:$D$140,"436",'Podaci 5. razina'!$H$4:$H$140,"3")</f>
        <v>33000</v>
      </c>
      <c r="E31" s="6">
        <f>SUMIFS('Podaci 5. razina'!$M$4:$M$140,'Podaci 5. razina'!$D$4:$D$140,"436",'Podaci 5. razina'!$H$4:$H$140,"3")</f>
        <v>33000</v>
      </c>
      <c r="F31" s="6">
        <f>SUMIFS('Podaci 5. razina'!$N$4:$N$140,'Podaci 5. razina'!$D$4:$D$140,"436",'Podaci 5. razina'!$H$4:$H$140,"3")</f>
        <v>33000</v>
      </c>
    </row>
    <row r="32" spans="1:6" x14ac:dyDescent="0.25">
      <c r="A32" s="7" t="s">
        <v>52</v>
      </c>
      <c r="B32" s="6">
        <f>SUMIFS('Podaci 5. razina'!$J$4:$J$140,'Podaci 5. razina'!$D$4:$D$140,"5011",'Podaci 5. razina'!$H$4:$H$140,"3")</f>
        <v>1248299.58</v>
      </c>
      <c r="C32" s="6">
        <f>SUMIFS('Podaci 5. razina'!$K$4:$K$140,'Podaci 5. razina'!$D$4:$D$140,"5011",'Podaci 5. razina'!$H$4:$H$140,"3")</f>
        <v>1366400</v>
      </c>
      <c r="D32" s="6">
        <f>SUMIFS('Podaci 5. razina'!$L$4:$L$140,'Podaci 5. razina'!$D$4:$D$140,"5011",'Podaci 5. razina'!$H$4:$H$140,"3")</f>
        <v>1419900</v>
      </c>
      <c r="E32" s="6">
        <f>SUMIFS('Podaci 5. razina'!$M$4:$M$140,'Podaci 5. razina'!$D$4:$D$140,"5011",'Podaci 5. razina'!$H$4:$H$140,"3")</f>
        <v>1419900</v>
      </c>
      <c r="F32" s="6">
        <f>SUMIFS('Podaci 5. razina'!$N$4:$N$140,'Podaci 5. razina'!$D$4:$D$140,"5011",'Podaci 5. razina'!$H$4:$H$140,"3")</f>
        <v>1419900</v>
      </c>
    </row>
    <row r="33" spans="1:6" x14ac:dyDescent="0.25">
      <c r="A33" s="7" t="s">
        <v>53</v>
      </c>
      <c r="B33" s="6">
        <f>SUMIFS('Podaci 5. razina'!$J$4:$J$140,'Podaci 5. razina'!$D$4:$D$140,"55",'Podaci 5. razina'!$H$4:$H$140,"3")</f>
        <v>3706.6499999999996</v>
      </c>
      <c r="C33" s="6">
        <f>SUMIFS('Podaci 5. razina'!$K$4:$K$140,'Podaci 5. razina'!$D$4:$D$140,"55",'Podaci 5. razina'!$H$4:$H$140,"3")</f>
        <v>3230</v>
      </c>
      <c r="D33" s="6">
        <f>SUMIFS('Podaci 5. razina'!$L$4:$L$140,'Podaci 5. razina'!$D$4:$D$140,"55",'Podaci 5. razina'!$H$4:$H$140,"3")</f>
        <v>3230</v>
      </c>
      <c r="E33" s="6">
        <f>SUMIFS('Podaci 5. razina'!$M$4:$M$140,'Podaci 5. razina'!$D$4:$D$140,"55",'Podaci 5. razina'!$H$4:$H$140,"3")</f>
        <v>3230</v>
      </c>
      <c r="F33" s="6">
        <f>SUMIFS('Podaci 5. razina'!$N$4:$N$140,'Podaci 5. razina'!$D$4:$D$140,"55",'Podaci 5. razina'!$H$4:$H$140,"3")</f>
        <v>3230</v>
      </c>
    </row>
    <row r="34" spans="1:6" x14ac:dyDescent="0.25">
      <c r="A34" s="7" t="s">
        <v>54</v>
      </c>
      <c r="B34" s="6">
        <f>SUMIFS('Podaci 5. razina'!$J$4:$J$140,'Podaci 5. razina'!$D$4:$D$140,"561",'Podaci 5. razina'!$H$4:$H$140,"3")</f>
        <v>25211.01</v>
      </c>
      <c r="C34" s="6">
        <f>SUMIFS('Podaci 5. razina'!$K$4:$K$140,'Podaci 5. razina'!$D$4:$D$140,"561",'Podaci 5. razina'!$H$4:$H$140,"3")</f>
        <v>27220</v>
      </c>
      <c r="D34" s="6">
        <f>SUMIFS('Podaci 5. razina'!$L$4:$L$140,'Podaci 5. razina'!$D$4:$D$140,"561",'Podaci 5. razina'!$H$4:$H$140,"3")</f>
        <v>25750</v>
      </c>
      <c r="E34" s="6">
        <f>SUMIFS('Podaci 5. razina'!$M$4:$M$140,'Podaci 5. razina'!$D$4:$D$140,"561",'Podaci 5. razina'!$H$4:$H$140,"3")</f>
        <v>25750</v>
      </c>
      <c r="F34" s="6">
        <f>SUMIFS('Podaci 5. razina'!$N$4:$N$140,'Podaci 5. razina'!$D$4:$D$140,"561",'Podaci 5. razina'!$H$4:$H$140,"3")</f>
        <v>25750</v>
      </c>
    </row>
    <row r="35" spans="1:6" x14ac:dyDescent="0.25">
      <c r="A35" s="7" t="s">
        <v>55</v>
      </c>
      <c r="B35" s="6">
        <f>SUMIFS('Podaci 5. razina'!$J$4:$J$140,'Podaci 5. razina'!$D$4:$D$140,"565",'Podaci 5. razina'!$H$4:$H$140,"3")</f>
        <v>1820</v>
      </c>
      <c r="C35" s="6">
        <f>SUMIFS('Podaci 5. razina'!$K$4:$K$140,'Podaci 5. razina'!$D$4:$D$140,"565",'Podaci 5. razina'!$H$4:$H$140,"3")</f>
        <v>2000</v>
      </c>
      <c r="D35" s="6">
        <f>SUMIFS('Podaci 5. razina'!$L$4:$L$140,'Podaci 5. razina'!$D$4:$D$140,"565",'Podaci 5. razina'!$H$4:$H$140,"3")</f>
        <v>2000</v>
      </c>
      <c r="E35" s="6">
        <f>SUMIFS('Podaci 5. razina'!$M$4:$M$140,'Podaci 5. razina'!$D$4:$D$140,"565",'Podaci 5. razina'!$H$4:$H$140,"3")</f>
        <v>2000</v>
      </c>
      <c r="F35" s="6">
        <f>SUMIFS('Podaci 5. razina'!$N$4:$N$140,'Podaci 5. razina'!$D$4:$D$140,"565",'Podaci 5. razina'!$H$4:$H$140,"3")</f>
        <v>2000</v>
      </c>
    </row>
    <row r="36" spans="1:6" x14ac:dyDescent="0.25">
      <c r="A36" s="7" t="s">
        <v>57</v>
      </c>
      <c r="B36" s="6">
        <f>SUMIFS('Podaci 5. razina'!$J$4:$J$140,'Podaci 5. razina'!$D$4:$D$140,"92",'Podaci 5. razina'!$H$4:$H$140,"3")</f>
        <v>39640</v>
      </c>
      <c r="C36" s="6">
        <f>SUMIFS('Podaci 5. razina'!$K$4:$K$140,'Podaci 5. razina'!$D$4:$D$140,"92",'Podaci 5. razina'!$H$4:$H$140,"3")</f>
        <v>0</v>
      </c>
      <c r="D36" s="6">
        <f>SUMIFS('Podaci 5. razina'!$L$4:$L$140,'Podaci 5. razina'!$D$4:$D$140,"92",'Podaci 5. razina'!$H$4:$H$140,"3")</f>
        <v>0</v>
      </c>
      <c r="E36" s="6">
        <f>SUMIFS('Podaci 5. razina'!$M$4:$M$140,'Podaci 5. razina'!$D$4:$D$140,"92",'Podaci 5. razina'!$H$4:$H$140,"3")</f>
        <v>0</v>
      </c>
      <c r="F36" s="6">
        <f>SUMIFS('Podaci 5. razina'!$N$4:$N$140,'Podaci 5. razina'!$D$4:$D$140,"92",'Podaci 5. razina'!$H$4:$H$140,"3")</f>
        <v>0</v>
      </c>
    </row>
    <row r="37" spans="1:6" ht="24" x14ac:dyDescent="0.25">
      <c r="A37" s="7" t="s">
        <v>58</v>
      </c>
      <c r="B37" s="6">
        <f>SUMIFS('Podaci 5. razina'!$J$4:$J$140,'Podaci 5. razina'!$D$4:$D$140,"99",'Podaci 5. razina'!$H$4:$H$140,"3")</f>
        <v>3087.31</v>
      </c>
      <c r="C37" s="6">
        <f>SUMIFS('Podaci 5. razina'!$K$4:$K$140,'Podaci 5. razina'!$D$4:$D$140,"99",'Podaci 5. razina'!$H$4:$H$140,"3")</f>
        <v>0</v>
      </c>
      <c r="D37" s="6">
        <f>SUMIFS('Podaci 5. razina'!$L$4:$L$140,'Podaci 5. razina'!$D$4:$D$140,"99",'Podaci 5. razina'!$H$4:$H$140,"3")</f>
        <v>0</v>
      </c>
      <c r="E37" s="6">
        <f>SUMIFS('Podaci 5. razina'!$M$4:$M$140,'Podaci 5. razina'!$D$4:$D$140,"99",'Podaci 5. razina'!$H$4:$H$140,"3")</f>
        <v>0</v>
      </c>
      <c r="F37" s="6">
        <f>SUMIFS('Podaci 5. razina'!$N$4:$N$140,'Podaci 5. razina'!$D$4:$D$140,"99",'Podaci 5. razina'!$H$4:$H$140,"3")</f>
        <v>0</v>
      </c>
    </row>
    <row r="38" spans="1:6" x14ac:dyDescent="0.25">
      <c r="A38" s="3" t="s">
        <v>42</v>
      </c>
      <c r="B38" s="4">
        <f>SUM(B39:B43)</f>
        <v>36529.74</v>
      </c>
      <c r="C38" s="4">
        <f>SUM(C39:C43)</f>
        <v>169760</v>
      </c>
      <c r="D38" s="4">
        <f>SUM(D39:D43)</f>
        <v>295760</v>
      </c>
      <c r="E38" s="4">
        <f>SUM(E39:E43)</f>
        <v>45760</v>
      </c>
      <c r="F38" s="4">
        <f>SUM(F39:F43)</f>
        <v>45760</v>
      </c>
    </row>
    <row r="39" spans="1:6" x14ac:dyDescent="0.25">
      <c r="A39" s="7" t="s">
        <v>48</v>
      </c>
      <c r="B39" s="6">
        <f>SUMIFS('Podaci 5. razina'!$J$4:$J$140,'Podaci 5. razina'!$D$4:$D$140,"11",'Podaci 5. razina'!$H$4:$H$140,"4")</f>
        <v>9600</v>
      </c>
      <c r="C39" s="6">
        <f>SUMIFS('Podaci 5. razina'!$K$4:$K$140,'Podaci 5. razina'!$D$4:$D$140,"11",'Podaci 5. razina'!$H$4:$H$140,"4")</f>
        <v>140000</v>
      </c>
      <c r="D39" s="6">
        <f>SUMIFS('Podaci 5. razina'!$L$4:$L$140,'Podaci 5. razina'!$D$4:$D$140,"11",'Podaci 5. razina'!$H$4:$H$140,"4")</f>
        <v>250000</v>
      </c>
      <c r="E39" s="6">
        <f>SUMIFS('Podaci 5. razina'!$M$4:$M$140,'Podaci 5. razina'!$D$4:$D$140,"11",'Podaci 5. razina'!$H$4:$H$140,"4")</f>
        <v>0</v>
      </c>
      <c r="F39" s="6">
        <f>SUMIFS('Podaci 5. razina'!$N$4:$N$140,'Podaci 5. razina'!$D$4:$D$140,"11",'Podaci 5. razina'!$H$4:$H$140,"4")</f>
        <v>0</v>
      </c>
    </row>
    <row r="40" spans="1:6" x14ac:dyDescent="0.25">
      <c r="A40" s="7" t="s">
        <v>50</v>
      </c>
      <c r="B40" s="6">
        <f>SUMIFS('Podaci 5. razina'!$J$4:$J$140,'Podaci 5. razina'!$D$4:$D$140,"312",'Podaci 5. razina'!$H$4:$H$140,"4")</f>
        <v>1.23</v>
      </c>
      <c r="C40" s="6">
        <f>SUMIFS('Podaci 5. razina'!$K$4:$K$140,'Podaci 5. razina'!$D$4:$D$140,"312",'Podaci 5. razina'!$H$4:$H$140,"4")</f>
        <v>90</v>
      </c>
      <c r="D40" s="6">
        <f>SUMIFS('Podaci 5. razina'!$L$4:$L$140,'Podaci 5. razina'!$D$4:$D$140,"312",'Podaci 5. razina'!$H$4:$H$140,"4")</f>
        <v>15090</v>
      </c>
      <c r="E40" s="6">
        <f>SUMIFS('Podaci 5. razina'!$M$4:$M$140,'Podaci 5. razina'!$D$4:$D$140,"312",'Podaci 5. razina'!$H$4:$H$140,"4")</f>
        <v>15090</v>
      </c>
      <c r="F40" s="6">
        <f>SUMIFS('Podaci 5. razina'!$N$4:$N$140,'Podaci 5. razina'!$D$4:$D$140,"312",'Podaci 5. razina'!$H$4:$H$140,"4")</f>
        <v>15090</v>
      </c>
    </row>
    <row r="41" spans="1:6" x14ac:dyDescent="0.25">
      <c r="A41" s="7" t="s">
        <v>52</v>
      </c>
      <c r="B41" s="6">
        <f>SUMIFS('Podaci 5. razina'!$J$4:$J$140,'Podaci 5. razina'!$D$4:$D$140,"5011",'Podaci 5. razina'!$H$4:$H$140,"4")</f>
        <v>26304.51</v>
      </c>
      <c r="C41" s="6">
        <f>SUMIFS('Podaci 5. razina'!$K$4:$K$140,'Podaci 5. razina'!$D$4:$D$140,"5011",'Podaci 5. razina'!$H$4:$H$140,"4")</f>
        <v>26970</v>
      </c>
      <c r="D41" s="6">
        <f>SUMIFS('Podaci 5. razina'!$L$4:$L$140,'Podaci 5. razina'!$D$4:$D$140,"5011",'Podaci 5. razina'!$H$4:$H$140,"4")</f>
        <v>27970</v>
      </c>
      <c r="E41" s="6">
        <f>SUMIFS('Podaci 5. razina'!$M$4:$M$140,'Podaci 5. razina'!$D$4:$D$140,"5011",'Podaci 5. razina'!$H$4:$H$140,"4")</f>
        <v>27970</v>
      </c>
      <c r="F41" s="6">
        <f>SUMIFS('Podaci 5. razina'!$N$4:$N$140,'Podaci 5. razina'!$D$4:$D$140,"5011",'Podaci 5. razina'!$H$4:$H$140,"4")</f>
        <v>27970</v>
      </c>
    </row>
    <row r="42" spans="1:6" x14ac:dyDescent="0.25">
      <c r="A42" s="7" t="s">
        <v>53</v>
      </c>
      <c r="B42" s="6">
        <f>SUMIFS('Podaci 5. razina'!$J$4:$J$140,'Podaci 5. razina'!$D$4:$D$140,"55",'Podaci 5. razina'!$H$4:$H$140,"4")</f>
        <v>570</v>
      </c>
      <c r="C42" s="6">
        <f>SUMIFS('Podaci 5. razina'!$K$4:$K$140,'Podaci 5. razina'!$D$4:$D$140,"55",'Podaci 5. razina'!$H$4:$H$140,"4")</f>
        <v>2700</v>
      </c>
      <c r="D42" s="6">
        <f>SUMIFS('Podaci 5. razina'!$L$4:$L$140,'Podaci 5. razina'!$D$4:$D$140,"55",'Podaci 5. razina'!$H$4:$H$140,"4")</f>
        <v>2700</v>
      </c>
      <c r="E42" s="6">
        <f>SUMIFS('Podaci 5. razina'!$M$4:$M$140,'Podaci 5. razina'!$D$4:$D$140,"55",'Podaci 5. razina'!$H$4:$H$140,"4")</f>
        <v>2700</v>
      </c>
      <c r="F42" s="6">
        <f>SUMIFS('Podaci 5. razina'!$N$4:$N$140,'Podaci 5. razina'!$D$4:$D$140,"55",'Podaci 5. razina'!$H$4:$H$140,"4")</f>
        <v>2700</v>
      </c>
    </row>
    <row r="43" spans="1:6" ht="24" x14ac:dyDescent="0.25">
      <c r="A43" s="7" t="s">
        <v>58</v>
      </c>
      <c r="B43" s="6">
        <f>SUMIFS('Podaci 5. razina'!$J$4:$J$140,'Podaci 5. razina'!$D$4:$D$140,"99",'Podaci 5. razina'!$H$4:$H$140,"4")</f>
        <v>54</v>
      </c>
      <c r="C43" s="6">
        <f>SUMIFS('Podaci 5. razina'!$K$4:$K$140,'Podaci 5. razina'!$D$4:$D$140,"99",'Podaci 5. razina'!$H$4:$H$140,"4")</f>
        <v>0</v>
      </c>
      <c r="D43" s="6">
        <f>SUMIFS('Podaci 5. razina'!$L$4:$L$140,'Podaci 5. razina'!$D$4:$D$140,"99",'Podaci 5. razina'!$H$4:$H$140,"4")</f>
        <v>0</v>
      </c>
      <c r="E43" s="6">
        <f>SUMIFS('Podaci 5. razina'!$M$4:$M$140,'Podaci 5. razina'!$D$4:$D$140,"99",'Podaci 5. razina'!$H$4:$H$140,"4")</f>
        <v>0</v>
      </c>
      <c r="F43" s="6">
        <f>SUMIFS('Podaci 5. razina'!$N$4:$N$140,'Podaci 5. razina'!$D$4:$D$140,"99",'Podaci 5. razina'!$H$4:$H$140,"4")</f>
        <v>0</v>
      </c>
    </row>
    <row r="45" spans="1:6" x14ac:dyDescent="0.25">
      <c r="A45" s="11" t="s">
        <v>44</v>
      </c>
      <c r="B45" s="12">
        <f>B11-B26</f>
        <v>-125279.84000000008</v>
      </c>
      <c r="C45" s="12">
        <f>C11-C26</f>
        <v>0</v>
      </c>
      <c r="D45" s="12">
        <f>D11-D26</f>
        <v>0</v>
      </c>
      <c r="E45" s="12">
        <f>E11-E26</f>
        <v>0</v>
      </c>
      <c r="F45" s="12">
        <f>F11-F26</f>
        <v>0</v>
      </c>
    </row>
  </sheetData>
  <mergeCells count="5">
    <mergeCell ref="A1:F1"/>
    <mergeCell ref="A3:F3"/>
    <mergeCell ref="A5:F5"/>
    <mergeCell ref="A7:F7"/>
    <mergeCell ref="A23:F23"/>
  </mergeCells>
  <pageMargins left="0.75" right="0.75" top="1" bottom="1" header="0.511811023622047" footer="0.511811023622047"/>
  <pageSetup scale="86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"/>
  <sheetViews>
    <sheetView showGridLines="0" zoomScaleNormal="100" workbookViewId="0">
      <selection activeCell="A2" sqref="A1:F1048576"/>
    </sheetView>
  </sheetViews>
  <sheetFormatPr defaultColWidth="8.7109375" defaultRowHeight="15" x14ac:dyDescent="0.25"/>
  <cols>
    <col min="1" max="1" width="42" customWidth="1"/>
    <col min="2" max="6" width="16" customWidth="1"/>
  </cols>
  <sheetData>
    <row r="1" spans="1:6" ht="31.5" customHeight="1" x14ac:dyDescent="0.25">
      <c r="A1" s="25" t="s">
        <v>0</v>
      </c>
      <c r="B1" s="25"/>
      <c r="C1" s="25"/>
      <c r="D1" s="25"/>
      <c r="E1" s="25"/>
      <c r="F1" s="25"/>
    </row>
    <row r="3" spans="1:6" ht="15" customHeight="1" x14ac:dyDescent="0.25">
      <c r="A3" s="26" t="s">
        <v>1</v>
      </c>
      <c r="B3" s="26"/>
      <c r="C3" s="26"/>
      <c r="D3" s="26"/>
      <c r="E3" s="26"/>
      <c r="F3" s="26"/>
    </row>
    <row r="5" spans="1:6" ht="15" customHeight="1" x14ac:dyDescent="0.25">
      <c r="A5" s="26" t="s">
        <v>21</v>
      </c>
      <c r="B5" s="26"/>
      <c r="C5" s="26"/>
      <c r="D5" s="26"/>
      <c r="E5" s="26"/>
      <c r="F5" s="26"/>
    </row>
    <row r="7" spans="1:6" ht="15" customHeight="1" x14ac:dyDescent="0.25">
      <c r="A7" s="26" t="s">
        <v>59</v>
      </c>
      <c r="B7" s="26"/>
      <c r="C7" s="26"/>
      <c r="D7" s="26"/>
      <c r="E7" s="26"/>
      <c r="F7" s="26"/>
    </row>
    <row r="10" spans="1:6" ht="30" customHeight="1" x14ac:dyDescent="0.25">
      <c r="A10" s="2" t="s">
        <v>60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</row>
    <row r="11" spans="1:6" x14ac:dyDescent="0.25">
      <c r="A11" s="3" t="s">
        <v>61</v>
      </c>
      <c r="B11" s="4">
        <f>' Račun prihoda i rashoda'!D33</f>
        <v>1714115.99</v>
      </c>
      <c r="C11" s="4">
        <f>' Račun prihoda i rashoda'!E33</f>
        <v>1973470</v>
      </c>
      <c r="D11" s="4">
        <f>' Račun prihoda i rashoda'!F33</f>
        <v>2120850</v>
      </c>
      <c r="E11" s="4">
        <f>' Račun prihoda i rashoda'!G33</f>
        <v>1870850</v>
      </c>
      <c r="F11" s="4">
        <f>' Račun prihoda i rashoda'!H33</f>
        <v>1870850</v>
      </c>
    </row>
    <row r="12" spans="1:6" x14ac:dyDescent="0.25">
      <c r="A12" s="13" t="s">
        <v>62</v>
      </c>
      <c r="B12" s="14">
        <f t="shared" ref="B12:F13" si="0">B11</f>
        <v>1714115.99</v>
      </c>
      <c r="C12" s="14">
        <f t="shared" si="0"/>
        <v>1973470</v>
      </c>
      <c r="D12" s="14">
        <f t="shared" si="0"/>
        <v>2120850</v>
      </c>
      <c r="E12" s="14">
        <f t="shared" si="0"/>
        <v>1870850</v>
      </c>
      <c r="F12" s="14">
        <f t="shared" si="0"/>
        <v>1870850</v>
      </c>
    </row>
    <row r="13" spans="1:6" x14ac:dyDescent="0.25">
      <c r="A13" s="5" t="s">
        <v>63</v>
      </c>
      <c r="B13" s="6">
        <f t="shared" si="0"/>
        <v>1714115.99</v>
      </c>
      <c r="C13" s="6">
        <f t="shared" si="0"/>
        <v>1973470</v>
      </c>
      <c r="D13" s="6">
        <f t="shared" si="0"/>
        <v>2120850</v>
      </c>
      <c r="E13" s="6">
        <f t="shared" si="0"/>
        <v>1870850</v>
      </c>
      <c r="F13" s="6">
        <f t="shared" si="0"/>
        <v>1870850</v>
      </c>
    </row>
  </sheetData>
  <mergeCells count="4">
    <mergeCell ref="A1:F1"/>
    <mergeCell ref="A3:F3"/>
    <mergeCell ref="A5:F5"/>
    <mergeCell ref="A7:F7"/>
  </mergeCells>
  <pageMargins left="0.75" right="0.75" top="1" bottom="1" header="0.511811023622047" footer="0.511811023622047"/>
  <pageSetup scale="99" fitToHeight="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82"/>
  <sheetViews>
    <sheetView showGridLines="0" tabSelected="1" zoomScaleNormal="100"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defaultColWidth="8.7109375" defaultRowHeight="15" x14ac:dyDescent="0.25"/>
  <cols>
    <col min="1" max="1" width="53.7109375" style="32" customWidth="1"/>
    <col min="2" max="2" width="11.5703125" customWidth="1"/>
    <col min="3" max="3" width="12.140625" customWidth="1"/>
    <col min="4" max="4" width="11.28515625" customWidth="1"/>
    <col min="5" max="6" width="12.140625" customWidth="1"/>
  </cols>
  <sheetData>
    <row r="1" spans="1:6" ht="31.5" customHeight="1" x14ac:dyDescent="0.25">
      <c r="A1" s="25" t="s">
        <v>0</v>
      </c>
      <c r="B1" s="25"/>
      <c r="C1" s="25"/>
      <c r="D1" s="25"/>
      <c r="E1" s="25"/>
      <c r="F1" s="25"/>
    </row>
    <row r="3" spans="1:6" ht="15" customHeight="1" x14ac:dyDescent="0.25">
      <c r="A3" s="26" t="s">
        <v>64</v>
      </c>
      <c r="B3" s="26"/>
      <c r="C3" s="26"/>
      <c r="D3" s="26"/>
      <c r="E3" s="26"/>
      <c r="F3" s="26"/>
    </row>
    <row r="5" spans="1:6" ht="30" customHeight="1" x14ac:dyDescent="0.25">
      <c r="A5" s="24" t="s">
        <v>65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15" t="s">
        <v>66</v>
      </c>
      <c r="B6" s="16">
        <f t="shared" ref="B6:F9" si="0">B7</f>
        <v>1714115.99</v>
      </c>
      <c r="C6" s="16">
        <f t="shared" si="0"/>
        <v>1973470</v>
      </c>
      <c r="D6" s="16">
        <f t="shared" si="0"/>
        <v>2120850</v>
      </c>
      <c r="E6" s="16">
        <f t="shared" si="0"/>
        <v>1870850</v>
      </c>
      <c r="F6" s="16">
        <f t="shared" si="0"/>
        <v>1870850</v>
      </c>
    </row>
    <row r="7" spans="1:6" ht="24" x14ac:dyDescent="0.25">
      <c r="A7" s="15" t="s">
        <v>67</v>
      </c>
      <c r="B7" s="16">
        <f t="shared" si="0"/>
        <v>1714115.99</v>
      </c>
      <c r="C7" s="16">
        <f t="shared" si="0"/>
        <v>1973470</v>
      </c>
      <c r="D7" s="16">
        <f t="shared" si="0"/>
        <v>2120850</v>
      </c>
      <c r="E7" s="16">
        <f t="shared" si="0"/>
        <v>1870850</v>
      </c>
      <c r="F7" s="16">
        <f t="shared" si="0"/>
        <v>1870850</v>
      </c>
    </row>
    <row r="8" spans="1:6" x14ac:dyDescent="0.25">
      <c r="A8" s="15" t="s">
        <v>68</v>
      </c>
      <c r="B8" s="16">
        <f t="shared" si="0"/>
        <v>1714115.99</v>
      </c>
      <c r="C8" s="16">
        <f t="shared" si="0"/>
        <v>1973470</v>
      </c>
      <c r="D8" s="16">
        <f t="shared" si="0"/>
        <v>2120850</v>
      </c>
      <c r="E8" s="16">
        <f t="shared" si="0"/>
        <v>1870850</v>
      </c>
      <c r="F8" s="16">
        <f t="shared" si="0"/>
        <v>1870850</v>
      </c>
    </row>
    <row r="9" spans="1:6" x14ac:dyDescent="0.25">
      <c r="A9" s="15" t="s">
        <v>69</v>
      </c>
      <c r="B9" s="16">
        <f t="shared" si="0"/>
        <v>1714115.99</v>
      </c>
      <c r="C9" s="16">
        <f t="shared" si="0"/>
        <v>1973470</v>
      </c>
      <c r="D9" s="16">
        <f t="shared" si="0"/>
        <v>2120850</v>
      </c>
      <c r="E9" s="16">
        <f t="shared" si="0"/>
        <v>1870850</v>
      </c>
      <c r="F9" s="16">
        <f t="shared" si="0"/>
        <v>1870850</v>
      </c>
    </row>
    <row r="10" spans="1:6" x14ac:dyDescent="0.25">
      <c r="A10" s="15" t="s">
        <v>70</v>
      </c>
      <c r="B10" s="16">
        <f>B11+B22+B74+B78</f>
        <v>1714115.99</v>
      </c>
      <c r="C10" s="16">
        <f>C11+C22+C74+C78</f>
        <v>1973470</v>
      </c>
      <c r="D10" s="16">
        <f>D11+D22+D74+D78</f>
        <v>2120850</v>
      </c>
      <c r="E10" s="16">
        <f>E11+E22+E74+E78</f>
        <v>1870850</v>
      </c>
      <c r="F10" s="16">
        <f>F11+F22+F74+F78</f>
        <v>1870850</v>
      </c>
    </row>
    <row r="11" spans="1:6" ht="24" x14ac:dyDescent="0.25">
      <c r="A11" s="15" t="s">
        <v>71</v>
      </c>
      <c r="B11" s="16">
        <f>B12+B18</f>
        <v>1262892.24</v>
      </c>
      <c r="C11" s="16">
        <f>C12+C18</f>
        <v>1332800</v>
      </c>
      <c r="D11" s="16">
        <f>D12+D18</f>
        <v>1380300</v>
      </c>
      <c r="E11" s="16">
        <f>E12+E18</f>
        <v>1380300</v>
      </c>
      <c r="F11" s="16">
        <f>F12+F18</f>
        <v>1380300</v>
      </c>
    </row>
    <row r="12" spans="1:6" x14ac:dyDescent="0.25">
      <c r="A12" s="17" t="s">
        <v>72</v>
      </c>
      <c r="B12" s="4">
        <f>B13+B16</f>
        <v>72000</v>
      </c>
      <c r="C12" s="4">
        <f>C13+C16</f>
        <v>71000</v>
      </c>
      <c r="D12" s="4">
        <f>D13+D16</f>
        <v>95500</v>
      </c>
      <c r="E12" s="4">
        <f>E13+E16</f>
        <v>95500</v>
      </c>
      <c r="F12" s="4">
        <f>F13+F16</f>
        <v>95500</v>
      </c>
    </row>
    <row r="13" spans="1:6" x14ac:dyDescent="0.25">
      <c r="A13" s="18" t="s">
        <v>73</v>
      </c>
      <c r="B13" s="19">
        <f>SUM(B14:B15)</f>
        <v>72000</v>
      </c>
      <c r="C13" s="19">
        <f>SUM(C14:C15)</f>
        <v>56400</v>
      </c>
      <c r="D13" s="19">
        <f>SUM(D14:D15)</f>
        <v>52400</v>
      </c>
      <c r="E13" s="19">
        <f>SUM(E14:E15)</f>
        <v>52400</v>
      </c>
      <c r="F13" s="19">
        <f>SUM(F14:F15)</f>
        <v>52400</v>
      </c>
    </row>
    <row r="14" spans="1:6" x14ac:dyDescent="0.25">
      <c r="A14" s="23" t="s">
        <v>38</v>
      </c>
      <c r="B14" s="6">
        <f>SUMIFS('Podaci 5. razina'!$J$4:$J$140,'Podaci 5. razina'!$B$4:$B$140,"18054001",'Podaci 5. razina'!$D$4:$D$140,"112",'Podaci 5. razina'!$I$4:$I$140,"32")</f>
        <v>71500</v>
      </c>
      <c r="C14" s="6">
        <f>SUMIFS('Podaci 5. razina'!$K$4:$K$140,'Podaci 5. razina'!$B$4:$B$140,"18054001",'Podaci 5. razina'!$D$4:$D$140,"112",'Podaci 5. razina'!$I$4:$I$140,"32")</f>
        <v>55900</v>
      </c>
      <c r="D14" s="6">
        <f>SUMIFS('Podaci 5. razina'!$L$4:$L$140,'Podaci 5. razina'!$B$4:$B$140,"18054001",'Podaci 5. razina'!$D$4:$D$140,"112",'Podaci 5. razina'!$I$4:$I$140,"32")</f>
        <v>51900</v>
      </c>
      <c r="E14" s="6">
        <f>SUMIFS('Podaci 5. razina'!$M$4:$M$140,'Podaci 5. razina'!$B$4:$B$140,"18054001",'Podaci 5. razina'!$D$4:$D$140,"112",'Podaci 5. razina'!$I$4:$I$140,"32")</f>
        <v>51900</v>
      </c>
      <c r="F14" s="6">
        <f>SUMIFS('Podaci 5. razina'!$N$4:$N$140,'Podaci 5. razina'!$B$4:$B$140,"18054001",'Podaci 5. razina'!$D$4:$D$140,"112",'Podaci 5. razina'!$I$4:$I$140,"32")</f>
        <v>51900</v>
      </c>
    </row>
    <row r="15" spans="1:6" x14ac:dyDescent="0.25">
      <c r="A15" s="23" t="s">
        <v>39</v>
      </c>
      <c r="B15" s="6">
        <f>SUMIFS('Podaci 5. razina'!$J$4:$J$140,'Podaci 5. razina'!$B$4:$B$140,"18054001",'Podaci 5. razina'!$D$4:$D$140,"112",'Podaci 5. razina'!$I$4:$I$140,"34")</f>
        <v>500</v>
      </c>
      <c r="C15" s="6">
        <f>SUMIFS('Podaci 5. razina'!$K$4:$K$140,'Podaci 5. razina'!$B$4:$B$140,"18054001",'Podaci 5. razina'!$D$4:$D$140,"112",'Podaci 5. razina'!$I$4:$I$140,"34")</f>
        <v>500</v>
      </c>
      <c r="D15" s="6">
        <f>SUMIFS('Podaci 5. razina'!$L$4:$L$140,'Podaci 5. razina'!$B$4:$B$140,"18054001",'Podaci 5. razina'!$D$4:$D$140,"112",'Podaci 5. razina'!$I$4:$I$140,"34")</f>
        <v>500</v>
      </c>
      <c r="E15" s="6">
        <f>SUMIFS('Podaci 5. razina'!$M$4:$M$140,'Podaci 5. razina'!$B$4:$B$140,"18054001",'Podaci 5. razina'!$D$4:$D$140,"112",'Podaci 5. razina'!$I$4:$I$140,"34")</f>
        <v>500</v>
      </c>
      <c r="F15" s="6">
        <f>SUMIFS('Podaci 5. razina'!$N$4:$N$140,'Podaci 5. razina'!$B$4:$B$140,"18054001",'Podaci 5. razina'!$D$4:$D$140,"112",'Podaci 5. razina'!$I$4:$I$140,"34")</f>
        <v>500</v>
      </c>
    </row>
    <row r="16" spans="1:6" ht="24" x14ac:dyDescent="0.25">
      <c r="A16" s="18" t="s">
        <v>74</v>
      </c>
      <c r="B16" s="19">
        <f>SUM(B17:B17)</f>
        <v>0</v>
      </c>
      <c r="C16" s="19">
        <f>SUM(C17:C17)</f>
        <v>14600</v>
      </c>
      <c r="D16" s="19">
        <f>SUM(D17:D17)</f>
        <v>43100</v>
      </c>
      <c r="E16" s="19">
        <f>SUM(E17:E17)</f>
        <v>43100</v>
      </c>
      <c r="F16" s="19">
        <f>SUM(F17:F17)</f>
        <v>43100</v>
      </c>
    </row>
    <row r="17" spans="1:6" x14ac:dyDescent="0.25">
      <c r="A17" s="23" t="s">
        <v>38</v>
      </c>
      <c r="B17" s="6">
        <f>SUMIFS('Podaci 5. razina'!$J$4:$J$140,'Podaci 5. razina'!$B$4:$B$140,"18054001",'Podaci 5. razina'!$D$4:$D$140,"5011",'Podaci 5. razina'!$I$4:$I$140,"32")</f>
        <v>0</v>
      </c>
      <c r="C17" s="6">
        <f>SUMIFS('Podaci 5. razina'!$K$4:$K$140,'Podaci 5. razina'!$B$4:$B$140,"18054001",'Podaci 5. razina'!$D$4:$D$140,"5011",'Podaci 5. razina'!$I$4:$I$140,"32")</f>
        <v>14600</v>
      </c>
      <c r="D17" s="6">
        <f>SUMIFS('Podaci 5. razina'!$L$4:$L$140,'Podaci 5. razina'!$B$4:$B$140,"18054001",'Podaci 5. razina'!$D$4:$D$140,"5011",'Podaci 5. razina'!$I$4:$I$140,"32")</f>
        <v>43100</v>
      </c>
      <c r="E17" s="6">
        <f>SUMIFS('Podaci 5. razina'!$M$4:$M$140,'Podaci 5. razina'!$B$4:$B$140,"18054001",'Podaci 5. razina'!$D$4:$D$140,"5011",'Podaci 5. razina'!$I$4:$I$140,"32")</f>
        <v>43100</v>
      </c>
      <c r="F17" s="6">
        <f>SUMIFS('Podaci 5. razina'!$N$4:$N$140,'Podaci 5. razina'!$B$4:$B$140,"18054001",'Podaci 5. razina'!$D$4:$D$140,"5011",'Podaci 5. razina'!$I$4:$I$140,"32")</f>
        <v>43100</v>
      </c>
    </row>
    <row r="18" spans="1:6" x14ac:dyDescent="0.25">
      <c r="A18" s="17" t="s">
        <v>75</v>
      </c>
      <c r="B18" s="4">
        <f>B19</f>
        <v>1190892.24</v>
      </c>
      <c r="C18" s="4">
        <f>C19</f>
        <v>1261800</v>
      </c>
      <c r="D18" s="4">
        <f>D19</f>
        <v>1284800</v>
      </c>
      <c r="E18" s="4">
        <f>E19</f>
        <v>1284800</v>
      </c>
      <c r="F18" s="4">
        <f>F19</f>
        <v>1284800</v>
      </c>
    </row>
    <row r="19" spans="1:6" ht="24" x14ac:dyDescent="0.25">
      <c r="A19" s="18" t="s">
        <v>74</v>
      </c>
      <c r="B19" s="19">
        <f>SUM(B20:B21)</f>
        <v>1190892.24</v>
      </c>
      <c r="C19" s="19">
        <f>SUM(C20:C21)</f>
        <v>1261800</v>
      </c>
      <c r="D19" s="19">
        <f>SUM(D20:D21)</f>
        <v>1284800</v>
      </c>
      <c r="E19" s="19">
        <f>SUM(E20:E21)</f>
        <v>1284800</v>
      </c>
      <c r="F19" s="19">
        <f>SUM(F20:F21)</f>
        <v>1284800</v>
      </c>
    </row>
    <row r="20" spans="1:6" x14ac:dyDescent="0.25">
      <c r="A20" s="23" t="s">
        <v>37</v>
      </c>
      <c r="B20" s="6">
        <f>SUMIFS('Podaci 5. razina'!$J$4:$J$140,'Podaci 5. razina'!$B$4:$B$140,"18054004",'Podaci 5. razina'!$D$4:$D$140,"5011",'Podaci 5. razina'!$I$4:$I$140,"31")</f>
        <v>1165263.46</v>
      </c>
      <c r="C20" s="6">
        <f>SUMIFS('Podaci 5. razina'!$K$4:$K$140,'Podaci 5. razina'!$B$4:$B$140,"18054004",'Podaci 5. razina'!$D$4:$D$140,"5011",'Podaci 5. razina'!$I$4:$I$140,"31")</f>
        <v>1234000</v>
      </c>
      <c r="D20" s="6">
        <f>SUMIFS('Podaci 5. razina'!$L$4:$L$140,'Podaci 5. razina'!$B$4:$B$140,"18054004",'Podaci 5. razina'!$D$4:$D$140,"5011",'Podaci 5. razina'!$I$4:$I$140,"31")</f>
        <v>1257000</v>
      </c>
      <c r="E20" s="6">
        <f>SUMIFS('Podaci 5. razina'!$M$4:$M$140,'Podaci 5. razina'!$B$4:$B$140,"18054004",'Podaci 5. razina'!$D$4:$D$140,"5011",'Podaci 5. razina'!$I$4:$I$140,"31")</f>
        <v>1257000</v>
      </c>
      <c r="F20" s="6">
        <f>SUMIFS('Podaci 5. razina'!$N$4:$N$140,'Podaci 5. razina'!$B$4:$B$140,"18054004",'Podaci 5. razina'!$D$4:$D$140,"5011",'Podaci 5. razina'!$I$4:$I$140,"31")</f>
        <v>1257000</v>
      </c>
    </row>
    <row r="21" spans="1:6" x14ac:dyDescent="0.25">
      <c r="A21" s="23" t="s">
        <v>38</v>
      </c>
      <c r="B21" s="6">
        <f>SUMIFS('Podaci 5. razina'!$J$4:$J$140,'Podaci 5. razina'!$B$4:$B$140,"18054004",'Podaci 5. razina'!$D$4:$D$140,"5011",'Podaci 5. razina'!$I$4:$I$140,"32")</f>
        <v>25628.78</v>
      </c>
      <c r="C21" s="6">
        <f>SUMIFS('Podaci 5. razina'!$K$4:$K$140,'Podaci 5. razina'!$B$4:$B$140,"18054004",'Podaci 5. razina'!$D$4:$D$140,"5011",'Podaci 5. razina'!$I$4:$I$140,"32")</f>
        <v>27800</v>
      </c>
      <c r="D21" s="6">
        <f>SUMIFS('Podaci 5. razina'!$L$4:$L$140,'Podaci 5. razina'!$B$4:$B$140,"18054004",'Podaci 5. razina'!$D$4:$D$140,"5011",'Podaci 5. razina'!$I$4:$I$140,"32")</f>
        <v>27800</v>
      </c>
      <c r="E21" s="6">
        <f>SUMIFS('Podaci 5. razina'!$M$4:$M$140,'Podaci 5. razina'!$B$4:$B$140,"18054004",'Podaci 5. razina'!$D$4:$D$140,"5011",'Podaci 5. razina'!$I$4:$I$140,"32")</f>
        <v>27800</v>
      </c>
      <c r="F21" s="6">
        <f>SUMIFS('Podaci 5. razina'!$N$4:$N$140,'Podaci 5. razina'!$B$4:$B$140,"18054004",'Podaci 5. razina'!$D$4:$D$140,"5011",'Podaci 5. razina'!$I$4:$I$140,"32")</f>
        <v>27800</v>
      </c>
    </row>
    <row r="22" spans="1:6" ht="24" x14ac:dyDescent="0.25">
      <c r="A22" s="15" t="s">
        <v>76</v>
      </c>
      <c r="B22" s="16">
        <f>B23+B37+B44+B49+B53+B60+B63+B66</f>
        <v>445253.75</v>
      </c>
      <c r="C22" s="16">
        <f>C23+C37+C44+C49+C53+C60+C63+C66</f>
        <v>494700</v>
      </c>
      <c r="D22" s="16">
        <f>D23+D37+D44+D49+D53+D60+D63+D66</f>
        <v>484580</v>
      </c>
      <c r="E22" s="16">
        <f>E23+E37+E44+E49+E53+E60+E63+E66</f>
        <v>484580</v>
      </c>
      <c r="F22" s="16">
        <f>F23+F37+F44+F49+F53+F60+F63+F66</f>
        <v>484580</v>
      </c>
    </row>
    <row r="23" spans="1:6" x14ac:dyDescent="0.25">
      <c r="A23" s="17" t="s">
        <v>77</v>
      </c>
      <c r="B23" s="4">
        <f>B24+B27+B30+B34</f>
        <v>78318.179999999978</v>
      </c>
      <c r="C23" s="4">
        <f>C24+C27+C30+C34</f>
        <v>36530</v>
      </c>
      <c r="D23" s="4">
        <f>D24+D27+D30+D34</f>
        <v>34330</v>
      </c>
      <c r="E23" s="4">
        <f>E24+E27+E30+E34</f>
        <v>34330</v>
      </c>
      <c r="F23" s="4">
        <f>F24+F27+F30+F34</f>
        <v>34330</v>
      </c>
    </row>
    <row r="24" spans="1:6" x14ac:dyDescent="0.25">
      <c r="A24" s="18" t="s">
        <v>78</v>
      </c>
      <c r="B24" s="19">
        <f>SUM(B25:B26)</f>
        <v>70898.989999999991</v>
      </c>
      <c r="C24" s="19">
        <f>SUM(C25:C26)</f>
        <v>30500</v>
      </c>
      <c r="D24" s="19">
        <f>SUM(D25:D26)</f>
        <v>8300</v>
      </c>
      <c r="E24" s="19">
        <f>SUM(E25:E26)</f>
        <v>8300</v>
      </c>
      <c r="F24" s="19">
        <f>SUM(F25:F26)</f>
        <v>8300</v>
      </c>
    </row>
    <row r="25" spans="1:6" x14ac:dyDescent="0.25">
      <c r="A25" s="23" t="s">
        <v>38</v>
      </c>
      <c r="B25" s="6">
        <f>SUMIFS('Podaci 5. razina'!$J$4:$J$140,'Podaci 5. razina'!$B$4:$B$140,"18055002",'Podaci 5. razina'!$D$4:$D$140,"11",'Podaci 5. razina'!$I$4:$I$140,"32")</f>
        <v>52000.39</v>
      </c>
      <c r="C25" s="6">
        <f>SUMIFS('Podaci 5. razina'!$K$4:$K$140,'Podaci 5. razina'!$B$4:$B$140,"18055002",'Podaci 5. razina'!$D$4:$D$140,"11",'Podaci 5. razina'!$I$4:$I$140,"32")</f>
        <v>30500</v>
      </c>
      <c r="D25" s="6">
        <f>SUMIFS('Podaci 5. razina'!$L$4:$L$140,'Podaci 5. razina'!$B$4:$B$140,"18055002",'Podaci 5. razina'!$D$4:$D$140,"11",'Podaci 5. razina'!$I$4:$I$140,"32")</f>
        <v>8300</v>
      </c>
      <c r="E25" s="6">
        <f>SUMIFS('Podaci 5. razina'!$M$4:$M$140,'Podaci 5. razina'!$B$4:$B$140,"18055002",'Podaci 5. razina'!$D$4:$D$140,"11",'Podaci 5. razina'!$I$4:$I$140,"32")</f>
        <v>8300</v>
      </c>
      <c r="F25" s="6">
        <f>SUMIFS('Podaci 5. razina'!$N$4:$N$140,'Podaci 5. razina'!$B$4:$B$140,"18055002",'Podaci 5. razina'!$D$4:$D$140,"11",'Podaci 5. razina'!$I$4:$I$140,"32")</f>
        <v>8300</v>
      </c>
    </row>
    <row r="26" spans="1:6" ht="24" x14ac:dyDescent="0.25">
      <c r="A26" s="23" t="s">
        <v>40</v>
      </c>
      <c r="B26" s="6">
        <f>SUMIFS('Podaci 5. razina'!$J$4:$J$140,'Podaci 5. razina'!$B$4:$B$140,"18055002",'Podaci 5. razina'!$D$4:$D$140,"11",'Podaci 5. razina'!$I$4:$I$140,"37")</f>
        <v>18898.599999999999</v>
      </c>
      <c r="C26" s="6">
        <f>SUMIFS('Podaci 5. razina'!$K$4:$K$140,'Podaci 5. razina'!$B$4:$B$140,"18055002",'Podaci 5. razina'!$D$4:$D$140,"11",'Podaci 5. razina'!$I$4:$I$140,"37")</f>
        <v>0</v>
      </c>
      <c r="D26" s="6">
        <f>SUMIFS('Podaci 5. razina'!$L$4:$L$140,'Podaci 5. razina'!$B$4:$B$140,"18055002",'Podaci 5. razina'!$D$4:$D$140,"11",'Podaci 5. razina'!$I$4:$I$140,"37")</f>
        <v>0</v>
      </c>
      <c r="E26" s="6">
        <f>SUMIFS('Podaci 5. razina'!$M$4:$M$140,'Podaci 5. razina'!$B$4:$B$140,"18055002",'Podaci 5. razina'!$D$4:$D$140,"11",'Podaci 5. razina'!$I$4:$I$140,"37")</f>
        <v>0</v>
      </c>
      <c r="F26" s="6">
        <f>SUMIFS('Podaci 5. razina'!$N$4:$N$140,'Podaci 5. razina'!$B$4:$B$140,"18055002",'Podaci 5. razina'!$D$4:$D$140,"11",'Podaci 5. razina'!$I$4:$I$140,"37")</f>
        <v>0</v>
      </c>
    </row>
    <row r="27" spans="1:6" x14ac:dyDescent="0.25">
      <c r="A27" s="18" t="s">
        <v>79</v>
      </c>
      <c r="B27" s="19">
        <f>SUM(B28:B29)</f>
        <v>1.23</v>
      </c>
      <c r="C27" s="19">
        <f>SUM(C28:C29)</f>
        <v>100</v>
      </c>
      <c r="D27" s="19">
        <f>SUM(D28:D29)</f>
        <v>20100</v>
      </c>
      <c r="E27" s="19">
        <f>SUM(E28:E29)</f>
        <v>20100</v>
      </c>
      <c r="F27" s="19">
        <f>SUM(F28:F29)</f>
        <v>20100</v>
      </c>
    </row>
    <row r="28" spans="1:6" x14ac:dyDescent="0.25">
      <c r="A28" s="23" t="s">
        <v>38</v>
      </c>
      <c r="B28" s="6">
        <f>SUMIFS('Podaci 5. razina'!$J$4:$J$140,'Podaci 5. razina'!$B$4:$B$140,"18055002",'Podaci 5. razina'!$D$4:$D$140,"312",'Podaci 5. razina'!$I$4:$I$140,"32")</f>
        <v>0</v>
      </c>
      <c r="C28" s="6">
        <f>SUMIFS('Podaci 5. razina'!$K$4:$K$140,'Podaci 5. razina'!$B$4:$B$140,"18055002",'Podaci 5. razina'!$D$4:$D$140,"312",'Podaci 5. razina'!$I$4:$I$140,"32")</f>
        <v>10</v>
      </c>
      <c r="D28" s="6">
        <f>SUMIFS('Podaci 5. razina'!$L$4:$L$140,'Podaci 5. razina'!$B$4:$B$140,"18055002",'Podaci 5. razina'!$D$4:$D$140,"312",'Podaci 5. razina'!$I$4:$I$140,"32")</f>
        <v>5010</v>
      </c>
      <c r="E28" s="6">
        <f>SUMIFS('Podaci 5. razina'!$M$4:$M$140,'Podaci 5. razina'!$B$4:$B$140,"18055002",'Podaci 5. razina'!$D$4:$D$140,"312",'Podaci 5. razina'!$I$4:$I$140,"32")</f>
        <v>5010</v>
      </c>
      <c r="F28" s="6">
        <f>SUMIFS('Podaci 5. razina'!$N$4:$N$140,'Podaci 5. razina'!$B$4:$B$140,"18055002",'Podaci 5. razina'!$D$4:$D$140,"312",'Podaci 5. razina'!$I$4:$I$140,"32")</f>
        <v>5010</v>
      </c>
    </row>
    <row r="29" spans="1:6" x14ac:dyDescent="0.25">
      <c r="A29" s="23" t="s">
        <v>43</v>
      </c>
      <c r="B29" s="6">
        <f>SUMIFS('Podaci 5. razina'!$J$4:$J$140,'Podaci 5. razina'!$B$4:$B$140,"18055002",'Podaci 5. razina'!$D$4:$D$140,"312",'Podaci 5. razina'!$I$4:$I$140,"42")</f>
        <v>1.23</v>
      </c>
      <c r="C29" s="6">
        <f>SUMIFS('Podaci 5. razina'!$K$4:$K$140,'Podaci 5. razina'!$B$4:$B$140,"18055002",'Podaci 5. razina'!$D$4:$D$140,"312",'Podaci 5. razina'!$I$4:$I$140,"42")</f>
        <v>90</v>
      </c>
      <c r="D29" s="6">
        <f>SUMIFS('Podaci 5. razina'!$L$4:$L$140,'Podaci 5. razina'!$B$4:$B$140,"18055002",'Podaci 5. razina'!$D$4:$D$140,"312",'Podaci 5. razina'!$I$4:$I$140,"42")</f>
        <v>15090</v>
      </c>
      <c r="E29" s="6">
        <f>SUMIFS('Podaci 5. razina'!$M$4:$M$140,'Podaci 5. razina'!$B$4:$B$140,"18055002",'Podaci 5. razina'!$D$4:$D$140,"312",'Podaci 5. razina'!$I$4:$I$140,"42")</f>
        <v>15090</v>
      </c>
      <c r="F29" s="6">
        <f>SUMIFS('Podaci 5. razina'!$N$4:$N$140,'Podaci 5. razina'!$B$4:$B$140,"18055002",'Podaci 5. razina'!$D$4:$D$140,"312",'Podaci 5. razina'!$I$4:$I$140,"42")</f>
        <v>15090</v>
      </c>
    </row>
    <row r="30" spans="1:6" ht="24" x14ac:dyDescent="0.25">
      <c r="A30" s="18" t="s">
        <v>80</v>
      </c>
      <c r="B30" s="19">
        <f>SUM(B31:B33)</f>
        <v>4276.6499999999996</v>
      </c>
      <c r="C30" s="19">
        <f>SUM(C31:C33)</f>
        <v>5930</v>
      </c>
      <c r="D30" s="19">
        <f>SUM(D31:D33)</f>
        <v>5930</v>
      </c>
      <c r="E30" s="19">
        <f>SUM(E31:E33)</f>
        <v>5930</v>
      </c>
      <c r="F30" s="19">
        <f>SUM(F31:F33)</f>
        <v>5930</v>
      </c>
    </row>
    <row r="31" spans="1:6" x14ac:dyDescent="0.25">
      <c r="A31" s="23" t="s">
        <v>38</v>
      </c>
      <c r="B31" s="6">
        <f>SUMIFS('Podaci 5. razina'!$J$4:$J$140,'Podaci 5. razina'!$B$4:$B$140,"18055002",'Podaci 5. razina'!$D$4:$D$140,"55",'Podaci 5. razina'!$I$4:$I$140,"32")</f>
        <v>2959.66</v>
      </c>
      <c r="C31" s="6">
        <f>SUMIFS('Podaci 5. razina'!$K$4:$K$140,'Podaci 5. razina'!$B$4:$B$140,"18055002",'Podaci 5. razina'!$D$4:$D$140,"55",'Podaci 5. razina'!$I$4:$I$140,"32")</f>
        <v>2500</v>
      </c>
      <c r="D31" s="6">
        <f>SUMIFS('Podaci 5. razina'!$L$4:$L$140,'Podaci 5. razina'!$B$4:$B$140,"18055002",'Podaci 5. razina'!$D$4:$D$140,"55",'Podaci 5. razina'!$I$4:$I$140,"32")</f>
        <v>2500</v>
      </c>
      <c r="E31" s="6">
        <f>SUMIFS('Podaci 5. razina'!$M$4:$M$140,'Podaci 5. razina'!$B$4:$B$140,"18055002",'Podaci 5. razina'!$D$4:$D$140,"55",'Podaci 5. razina'!$I$4:$I$140,"32")</f>
        <v>2500</v>
      </c>
      <c r="F31" s="6">
        <f>SUMIFS('Podaci 5. razina'!$N$4:$N$140,'Podaci 5. razina'!$B$4:$B$140,"18055002",'Podaci 5. razina'!$D$4:$D$140,"55",'Podaci 5. razina'!$I$4:$I$140,"32")</f>
        <v>2500</v>
      </c>
    </row>
    <row r="32" spans="1:6" x14ac:dyDescent="0.25">
      <c r="A32" s="23" t="s">
        <v>41</v>
      </c>
      <c r="B32" s="6">
        <f>SUMIFS('Podaci 5. razina'!$J$4:$J$140,'Podaci 5. razina'!$B$4:$B$140,"18055002",'Podaci 5. razina'!$D$4:$D$140,"55",'Podaci 5. razina'!$I$4:$I$140,"38")</f>
        <v>746.99</v>
      </c>
      <c r="C32" s="6">
        <f>SUMIFS('Podaci 5. razina'!$K$4:$K$140,'Podaci 5. razina'!$B$4:$B$140,"18055002",'Podaci 5. razina'!$D$4:$D$140,"55",'Podaci 5. razina'!$I$4:$I$140,"38")</f>
        <v>730</v>
      </c>
      <c r="D32" s="6">
        <f>SUMIFS('Podaci 5. razina'!$L$4:$L$140,'Podaci 5. razina'!$B$4:$B$140,"18055002",'Podaci 5. razina'!$D$4:$D$140,"55",'Podaci 5. razina'!$I$4:$I$140,"38")</f>
        <v>730</v>
      </c>
      <c r="E32" s="6">
        <f>SUMIFS('Podaci 5. razina'!$M$4:$M$140,'Podaci 5. razina'!$B$4:$B$140,"18055002",'Podaci 5. razina'!$D$4:$D$140,"55",'Podaci 5. razina'!$I$4:$I$140,"38")</f>
        <v>730</v>
      </c>
      <c r="F32" s="6">
        <f>SUMIFS('Podaci 5. razina'!$N$4:$N$140,'Podaci 5. razina'!$B$4:$B$140,"18055002",'Podaci 5. razina'!$D$4:$D$140,"55",'Podaci 5. razina'!$I$4:$I$140,"38")</f>
        <v>730</v>
      </c>
    </row>
    <row r="33" spans="1:6" x14ac:dyDescent="0.25">
      <c r="A33" s="23" t="s">
        <v>43</v>
      </c>
      <c r="B33" s="6">
        <f>SUMIFS('Podaci 5. razina'!$J$4:$J$140,'Podaci 5. razina'!$B$4:$B$140,"18055002",'Podaci 5. razina'!$D$4:$D$140,"55",'Podaci 5. razina'!$I$4:$I$140,"42")</f>
        <v>570</v>
      </c>
      <c r="C33" s="6">
        <f>SUMIFS('Podaci 5. razina'!$K$4:$K$140,'Podaci 5. razina'!$B$4:$B$140,"18055002",'Podaci 5. razina'!$D$4:$D$140,"55",'Podaci 5. razina'!$I$4:$I$140,"42")</f>
        <v>2700</v>
      </c>
      <c r="D33" s="6">
        <f>SUMIFS('Podaci 5. razina'!$L$4:$L$140,'Podaci 5. razina'!$B$4:$B$140,"18055002",'Podaci 5. razina'!$D$4:$D$140,"55",'Podaci 5. razina'!$I$4:$I$140,"42")</f>
        <v>2700</v>
      </c>
      <c r="E33" s="6">
        <f>SUMIFS('Podaci 5. razina'!$M$4:$M$140,'Podaci 5. razina'!$B$4:$B$140,"18055002",'Podaci 5. razina'!$D$4:$D$140,"55",'Podaci 5. razina'!$I$4:$I$140,"42")</f>
        <v>2700</v>
      </c>
      <c r="F33" s="6">
        <f>SUMIFS('Podaci 5. razina'!$N$4:$N$140,'Podaci 5. razina'!$B$4:$B$140,"18055002",'Podaci 5. razina'!$D$4:$D$140,"55",'Podaci 5. razina'!$I$4:$I$140,"42")</f>
        <v>2700</v>
      </c>
    </row>
    <row r="34" spans="1:6" ht="24" x14ac:dyDescent="0.25">
      <c r="A34" s="18" t="s">
        <v>81</v>
      </c>
      <c r="B34" s="19">
        <f>SUM(B35:B36)</f>
        <v>3141.31</v>
      </c>
      <c r="C34" s="19">
        <f>SUM(C35:C36)</f>
        <v>0</v>
      </c>
      <c r="D34" s="19">
        <f>SUM(D35:D36)</f>
        <v>0</v>
      </c>
      <c r="E34" s="19">
        <f>SUM(E35:E36)</f>
        <v>0</v>
      </c>
      <c r="F34" s="19">
        <f>SUM(F35:F36)</f>
        <v>0</v>
      </c>
    </row>
    <row r="35" spans="1:6" x14ac:dyDescent="0.25">
      <c r="A35" s="23" t="s">
        <v>38</v>
      </c>
      <c r="B35" s="6">
        <f>SUMIFS('Podaci 5. razina'!$J$4:$J$140,'Podaci 5. razina'!$B$4:$B$140,"18055002",'Podaci 5. razina'!$D$4:$D$140,"99",'Podaci 5. razina'!$I$4:$I$140,"32")</f>
        <v>3087.31</v>
      </c>
      <c r="C35" s="6">
        <f>SUMIFS('Podaci 5. razina'!$K$4:$K$140,'Podaci 5. razina'!$B$4:$B$140,"18055002",'Podaci 5. razina'!$D$4:$D$140,"99",'Podaci 5. razina'!$I$4:$I$140,"32")</f>
        <v>0</v>
      </c>
      <c r="D35" s="6">
        <f>SUMIFS('Podaci 5. razina'!$L$4:$L$140,'Podaci 5. razina'!$B$4:$B$140,"18055002",'Podaci 5. razina'!$D$4:$D$140,"99",'Podaci 5. razina'!$I$4:$I$140,"32")</f>
        <v>0</v>
      </c>
      <c r="E35" s="6">
        <f>SUMIFS('Podaci 5. razina'!$M$4:$M$140,'Podaci 5. razina'!$B$4:$B$140,"18055002",'Podaci 5. razina'!$D$4:$D$140,"99",'Podaci 5. razina'!$I$4:$I$140,"32")</f>
        <v>0</v>
      </c>
      <c r="F35" s="6">
        <f>SUMIFS('Podaci 5. razina'!$N$4:$N$140,'Podaci 5. razina'!$B$4:$B$140,"18055002",'Podaci 5. razina'!$D$4:$D$140,"99",'Podaci 5. razina'!$I$4:$I$140,"32")</f>
        <v>0</v>
      </c>
    </row>
    <row r="36" spans="1:6" x14ac:dyDescent="0.25">
      <c r="A36" s="23" t="s">
        <v>43</v>
      </c>
      <c r="B36" s="6">
        <f>SUMIFS('Podaci 5. razina'!$J$4:$J$140,'Podaci 5. razina'!$B$4:$B$140,"18055002",'Podaci 5. razina'!$D$4:$D$140,"99",'Podaci 5. razina'!$I$4:$I$140,"42")</f>
        <v>54</v>
      </c>
      <c r="C36" s="6">
        <f>SUMIFS('Podaci 5. razina'!$K$4:$K$140,'Podaci 5. razina'!$B$4:$B$140,"18055002",'Podaci 5. razina'!$D$4:$D$140,"99",'Podaci 5. razina'!$I$4:$I$140,"42")</f>
        <v>0</v>
      </c>
      <c r="D36" s="6">
        <f>SUMIFS('Podaci 5. razina'!$L$4:$L$140,'Podaci 5. razina'!$B$4:$B$140,"18055002",'Podaci 5. razina'!$D$4:$D$140,"99",'Podaci 5. razina'!$I$4:$I$140,"42")</f>
        <v>0</v>
      </c>
      <c r="E36" s="6">
        <f>SUMIFS('Podaci 5. razina'!$M$4:$M$140,'Podaci 5. razina'!$B$4:$B$140,"18055002",'Podaci 5. razina'!$D$4:$D$140,"99",'Podaci 5. razina'!$I$4:$I$140,"42")</f>
        <v>0</v>
      </c>
      <c r="F36" s="6">
        <f>SUMIFS('Podaci 5. razina'!$N$4:$N$140,'Podaci 5. razina'!$B$4:$B$140,"18055002",'Podaci 5. razina'!$D$4:$D$140,"99",'Podaci 5. razina'!$I$4:$I$140,"42")</f>
        <v>0</v>
      </c>
    </row>
    <row r="37" spans="1:6" x14ac:dyDescent="0.25">
      <c r="A37" s="17" t="s">
        <v>82</v>
      </c>
      <c r="B37" s="4">
        <f>B38+B42</f>
        <v>139840.41</v>
      </c>
      <c r="C37" s="4">
        <f>C38+C42</f>
        <v>143700</v>
      </c>
      <c r="D37" s="4">
        <f>D38+D42</f>
        <v>130600</v>
      </c>
      <c r="E37" s="4">
        <f>E38+E42</f>
        <v>130600</v>
      </c>
      <c r="F37" s="4">
        <f>F38+F42</f>
        <v>130600</v>
      </c>
    </row>
    <row r="38" spans="1:6" x14ac:dyDescent="0.25">
      <c r="A38" s="18" t="s">
        <v>78</v>
      </c>
      <c r="B38" s="19">
        <f>SUM(B39:B41)</f>
        <v>115196.31</v>
      </c>
      <c r="C38" s="19">
        <f>SUM(C39:C41)</f>
        <v>123700</v>
      </c>
      <c r="D38" s="19">
        <f>SUM(D39:D41)</f>
        <v>97600</v>
      </c>
      <c r="E38" s="19">
        <f>SUM(E39:E41)</f>
        <v>97600</v>
      </c>
      <c r="F38" s="19">
        <f>SUM(F39:F41)</f>
        <v>97600</v>
      </c>
    </row>
    <row r="39" spans="1:6" x14ac:dyDescent="0.25">
      <c r="A39" s="23" t="s">
        <v>37</v>
      </c>
      <c r="B39" s="6">
        <f>SUMIFS('Podaci 5. razina'!$J$4:$J$140,'Podaci 5. razina'!$B$4:$B$140,"18055006",'Podaci 5. razina'!$D$4:$D$140,"11",'Podaci 5. razina'!$I$4:$I$140,"31")</f>
        <v>83408.31</v>
      </c>
      <c r="C39" s="6">
        <f>SUMIFS('Podaci 5. razina'!$K$4:$K$140,'Podaci 5. razina'!$B$4:$B$140,"18055006",'Podaci 5. razina'!$D$4:$D$140,"11",'Podaci 5. razina'!$I$4:$I$140,"31")</f>
        <v>86600</v>
      </c>
      <c r="D39" s="6">
        <f>SUMIFS('Podaci 5. razina'!$L$4:$L$140,'Podaci 5. razina'!$B$4:$B$140,"18055006",'Podaci 5. razina'!$D$4:$D$140,"11",'Podaci 5. razina'!$I$4:$I$140,"31")</f>
        <v>61800</v>
      </c>
      <c r="E39" s="6">
        <f>SUMIFS('Podaci 5. razina'!$M$4:$M$140,'Podaci 5. razina'!$B$4:$B$140,"18055006",'Podaci 5. razina'!$D$4:$D$140,"11",'Podaci 5. razina'!$I$4:$I$140,"31")</f>
        <v>61800</v>
      </c>
      <c r="F39" s="6">
        <f>SUMIFS('Podaci 5. razina'!$N$4:$N$140,'Podaci 5. razina'!$B$4:$B$140,"18055006",'Podaci 5. razina'!$D$4:$D$140,"11",'Podaci 5. razina'!$I$4:$I$140,"31")</f>
        <v>61800</v>
      </c>
    </row>
    <row r="40" spans="1:6" x14ac:dyDescent="0.25">
      <c r="A40" s="23" t="s">
        <v>38</v>
      </c>
      <c r="B40" s="6">
        <f>SUMIFS('Podaci 5. razina'!$J$4:$J$140,'Podaci 5. razina'!$B$4:$B$140,"18055006",'Podaci 5. razina'!$D$4:$D$140,"11",'Podaci 5. razina'!$I$4:$I$140,"32")</f>
        <v>1126.75</v>
      </c>
      <c r="C40" s="6">
        <f>SUMIFS('Podaci 5. razina'!$K$4:$K$140,'Podaci 5. razina'!$B$4:$B$140,"18055006",'Podaci 5. razina'!$D$4:$D$140,"11",'Podaci 5. razina'!$I$4:$I$140,"32")</f>
        <v>2100</v>
      </c>
      <c r="D40" s="6">
        <f>SUMIFS('Podaci 5. razina'!$L$4:$L$140,'Podaci 5. razina'!$B$4:$B$140,"18055006",'Podaci 5. razina'!$D$4:$D$140,"11",'Podaci 5. razina'!$I$4:$I$140,"32")</f>
        <v>800</v>
      </c>
      <c r="E40" s="6">
        <f>SUMIFS('Podaci 5. razina'!$M$4:$M$140,'Podaci 5. razina'!$B$4:$B$140,"18055006",'Podaci 5. razina'!$D$4:$D$140,"11",'Podaci 5. razina'!$I$4:$I$140,"32")</f>
        <v>800</v>
      </c>
      <c r="F40" s="6">
        <f>SUMIFS('Podaci 5. razina'!$N$4:$N$140,'Podaci 5. razina'!$B$4:$B$140,"18055006",'Podaci 5. razina'!$D$4:$D$140,"11",'Podaci 5. razina'!$I$4:$I$140,"32")</f>
        <v>800</v>
      </c>
    </row>
    <row r="41" spans="1:6" ht="24" x14ac:dyDescent="0.25">
      <c r="A41" s="23" t="s">
        <v>40</v>
      </c>
      <c r="B41" s="6">
        <f>SUMIFS('Podaci 5. razina'!$J$4:$J$140,'Podaci 5. razina'!$B$4:$B$140,"18055006",'Podaci 5. razina'!$D$4:$D$140,"11",'Podaci 5. razina'!$I$4:$I$140,"37")</f>
        <v>30661.25</v>
      </c>
      <c r="C41" s="6">
        <f>SUMIFS('Podaci 5. razina'!$K$4:$K$140,'Podaci 5. razina'!$B$4:$B$140,"18055006",'Podaci 5. razina'!$D$4:$D$140,"11",'Podaci 5. razina'!$I$4:$I$140,"37")</f>
        <v>35000</v>
      </c>
      <c r="D41" s="6">
        <f>SUMIFS('Podaci 5. razina'!$L$4:$L$140,'Podaci 5. razina'!$B$4:$B$140,"18055006",'Podaci 5. razina'!$D$4:$D$140,"11",'Podaci 5. razina'!$I$4:$I$140,"37")</f>
        <v>35000</v>
      </c>
      <c r="E41" s="6">
        <f>SUMIFS('Podaci 5. razina'!$M$4:$M$140,'Podaci 5. razina'!$B$4:$B$140,"18055006",'Podaci 5. razina'!$D$4:$D$140,"11",'Podaci 5. razina'!$I$4:$I$140,"37")</f>
        <v>35000</v>
      </c>
      <c r="F41" s="6">
        <f>SUMIFS('Podaci 5. razina'!$N$4:$N$140,'Podaci 5. razina'!$B$4:$B$140,"18055006",'Podaci 5. razina'!$D$4:$D$140,"11",'Podaci 5. razina'!$I$4:$I$140,"37")</f>
        <v>35000</v>
      </c>
    </row>
    <row r="42" spans="1:6" x14ac:dyDescent="0.25">
      <c r="A42" s="18" t="s">
        <v>83</v>
      </c>
      <c r="B42" s="19">
        <f>SUM(B43:B43)</f>
        <v>24644.1</v>
      </c>
      <c r="C42" s="19">
        <f>SUM(C43:C43)</f>
        <v>20000</v>
      </c>
      <c r="D42" s="19">
        <f>SUM(D43:D43)</f>
        <v>33000</v>
      </c>
      <c r="E42" s="19">
        <f>SUM(E43:E43)</f>
        <v>33000</v>
      </c>
      <c r="F42" s="19">
        <f>SUM(F43:F43)</f>
        <v>33000</v>
      </c>
    </row>
    <row r="43" spans="1:6" ht="24" x14ac:dyDescent="0.25">
      <c r="A43" s="23" t="s">
        <v>40</v>
      </c>
      <c r="B43" s="6">
        <f>SUMIFS('Podaci 5. razina'!$J$4:$J$140,'Podaci 5. razina'!$B$4:$B$140,"18055006",'Podaci 5. razina'!$D$4:$D$140,"436",'Podaci 5. razina'!$I$4:$I$140,"37")</f>
        <v>24644.1</v>
      </c>
      <c r="C43" s="6">
        <f>SUMIFS('Podaci 5. razina'!$K$4:$K$140,'Podaci 5. razina'!$B$4:$B$140,"18055006",'Podaci 5. razina'!$D$4:$D$140,"436",'Podaci 5. razina'!$I$4:$I$140,"37")</f>
        <v>20000</v>
      </c>
      <c r="D43" s="6">
        <f>SUMIFS('Podaci 5. razina'!$L$4:$L$140,'Podaci 5. razina'!$B$4:$B$140,"18055006",'Podaci 5. razina'!$D$4:$D$140,"436",'Podaci 5. razina'!$I$4:$I$140,"37")</f>
        <v>33000</v>
      </c>
      <c r="E43" s="6">
        <f>SUMIFS('Podaci 5. razina'!$M$4:$M$140,'Podaci 5. razina'!$B$4:$B$140,"18055006",'Podaci 5. razina'!$D$4:$D$140,"436",'Podaci 5. razina'!$I$4:$I$140,"37")</f>
        <v>33000</v>
      </c>
      <c r="F43" s="6">
        <f>SUMIFS('Podaci 5. razina'!$N$4:$N$140,'Podaci 5. razina'!$B$4:$B$140,"18055006",'Podaci 5. razina'!$D$4:$D$140,"436",'Podaci 5. razina'!$I$4:$I$140,"37")</f>
        <v>33000</v>
      </c>
    </row>
    <row r="44" spans="1:6" ht="24" x14ac:dyDescent="0.25">
      <c r="A44" s="17" t="s">
        <v>84</v>
      </c>
      <c r="B44" s="4">
        <f>B45+B47</f>
        <v>43800</v>
      </c>
      <c r="C44" s="4">
        <f>C45+C47</f>
        <v>94000</v>
      </c>
      <c r="D44" s="4">
        <f>D45+D47</f>
        <v>95000</v>
      </c>
      <c r="E44" s="4">
        <f>E45+E47</f>
        <v>95000</v>
      </c>
      <c r="F44" s="4">
        <f>F45+F47</f>
        <v>95000</v>
      </c>
    </row>
    <row r="45" spans="1:6" x14ac:dyDescent="0.25">
      <c r="A45" s="18" t="s">
        <v>78</v>
      </c>
      <c r="B45" s="19">
        <f>SUM(B46:B46)</f>
        <v>4160</v>
      </c>
      <c r="C45" s="19">
        <f>SUM(C46:C46)</f>
        <v>94000</v>
      </c>
      <c r="D45" s="19">
        <f>SUM(D46:D46)</f>
        <v>95000</v>
      </c>
      <c r="E45" s="19">
        <f>SUM(E46:E46)</f>
        <v>95000</v>
      </c>
      <c r="F45" s="19">
        <f>SUM(F46:F46)</f>
        <v>95000</v>
      </c>
    </row>
    <row r="46" spans="1:6" x14ac:dyDescent="0.25">
      <c r="A46" s="23" t="s">
        <v>38</v>
      </c>
      <c r="B46" s="6">
        <f>SUMIFS('Podaci 5. razina'!$J$4:$J$140,'Podaci 5. razina'!$B$4:$B$140,"18055021",'Podaci 5. razina'!$D$4:$D$140,"11",'Podaci 5. razina'!$I$4:$I$140,"32")</f>
        <v>4160</v>
      </c>
      <c r="C46" s="6">
        <f>SUMIFS('Podaci 5. razina'!$K$4:$K$140,'Podaci 5. razina'!$B$4:$B$140,"18055021",'Podaci 5. razina'!$D$4:$D$140,"11",'Podaci 5. razina'!$I$4:$I$140,"32")</f>
        <v>94000</v>
      </c>
      <c r="D46" s="6">
        <f>SUMIFS('Podaci 5. razina'!$L$4:$L$140,'Podaci 5. razina'!$B$4:$B$140,"18055021",'Podaci 5. razina'!$D$4:$D$140,"11",'Podaci 5. razina'!$I$4:$I$140,"32")</f>
        <v>95000</v>
      </c>
      <c r="E46" s="6">
        <f>SUMIFS('Podaci 5. razina'!$M$4:$M$140,'Podaci 5. razina'!$B$4:$B$140,"18055021",'Podaci 5. razina'!$D$4:$D$140,"11",'Podaci 5. razina'!$I$4:$I$140,"32")</f>
        <v>95000</v>
      </c>
      <c r="F46" s="6">
        <f>SUMIFS('Podaci 5. razina'!$N$4:$N$140,'Podaci 5. razina'!$B$4:$B$140,"18055021",'Podaci 5. razina'!$D$4:$D$140,"11",'Podaci 5. razina'!$I$4:$I$140,"32")</f>
        <v>95000</v>
      </c>
    </row>
    <row r="47" spans="1:6" ht="24" x14ac:dyDescent="0.25">
      <c r="A47" s="18" t="s">
        <v>85</v>
      </c>
      <c r="B47" s="19">
        <f>SUM(B48:B48)</f>
        <v>39640</v>
      </c>
      <c r="C47" s="19">
        <f>SUM(C48:C48)</f>
        <v>0</v>
      </c>
      <c r="D47" s="19">
        <f>SUM(D48:D48)</f>
        <v>0</v>
      </c>
      <c r="E47" s="19">
        <f>SUM(E48:E48)</f>
        <v>0</v>
      </c>
      <c r="F47" s="19">
        <f>SUM(F48:F48)</f>
        <v>0</v>
      </c>
    </row>
    <row r="48" spans="1:6" x14ac:dyDescent="0.25">
      <c r="A48" s="23" t="s">
        <v>38</v>
      </c>
      <c r="B48" s="6">
        <f>SUMIFS('Podaci 5. razina'!$J$4:$J$140,'Podaci 5. razina'!$B$4:$B$140,"18055021",'Podaci 5. razina'!$D$4:$D$140,"92",'Podaci 5. razina'!$I$4:$I$140,"32")</f>
        <v>39640</v>
      </c>
      <c r="C48" s="6">
        <f>SUMIFS('Podaci 5. razina'!$K$4:$K$140,'Podaci 5. razina'!$B$4:$B$140,"18055021",'Podaci 5. razina'!$D$4:$D$140,"92",'Podaci 5. razina'!$I$4:$I$140,"32")</f>
        <v>0</v>
      </c>
      <c r="D48" s="6">
        <f>SUMIFS('Podaci 5. razina'!$L$4:$L$140,'Podaci 5. razina'!$B$4:$B$140,"18055021",'Podaci 5. razina'!$D$4:$D$140,"92",'Podaci 5. razina'!$I$4:$I$140,"32")</f>
        <v>0</v>
      </c>
      <c r="E48" s="6">
        <f>SUMIFS('Podaci 5. razina'!$M$4:$M$140,'Podaci 5. razina'!$B$4:$B$140,"18055021",'Podaci 5. razina'!$D$4:$D$140,"92",'Podaci 5. razina'!$I$4:$I$140,"32")</f>
        <v>0</v>
      </c>
      <c r="F48" s="6">
        <f>SUMIFS('Podaci 5. razina'!$N$4:$N$140,'Podaci 5. razina'!$B$4:$B$140,"18055021",'Podaci 5. razina'!$D$4:$D$140,"92",'Podaci 5. razina'!$I$4:$I$140,"32")</f>
        <v>0</v>
      </c>
    </row>
    <row r="49" spans="1:6" x14ac:dyDescent="0.25">
      <c r="A49" s="17" t="s">
        <v>86</v>
      </c>
      <c r="B49" s="4">
        <f>B50</f>
        <v>31277.279999999999</v>
      </c>
      <c r="C49" s="4">
        <f>C50</f>
        <v>33550</v>
      </c>
      <c r="D49" s="4">
        <f>D50</f>
        <v>33300</v>
      </c>
      <c r="E49" s="4">
        <f>E50</f>
        <v>33300</v>
      </c>
      <c r="F49" s="4">
        <f>F50</f>
        <v>33300</v>
      </c>
    </row>
    <row r="50" spans="1:6" x14ac:dyDescent="0.25">
      <c r="A50" s="18" t="s">
        <v>78</v>
      </c>
      <c r="B50" s="19">
        <f>SUM(B51:B52)</f>
        <v>31277.279999999999</v>
      </c>
      <c r="C50" s="19">
        <f>SUM(C51:C52)</f>
        <v>33550</v>
      </c>
      <c r="D50" s="19">
        <f>SUM(D51:D52)</f>
        <v>33300</v>
      </c>
      <c r="E50" s="19">
        <f>SUM(E51:E52)</f>
        <v>33300</v>
      </c>
      <c r="F50" s="19">
        <f>SUM(F51:F52)</f>
        <v>33300</v>
      </c>
    </row>
    <row r="51" spans="1:6" x14ac:dyDescent="0.25">
      <c r="A51" s="23" t="s">
        <v>37</v>
      </c>
      <c r="B51" s="6">
        <f>SUMIFS('Podaci 5. razina'!$J$4:$J$140,'Podaci 5. razina'!$B$4:$B$140,"18055023",'Podaci 5. razina'!$D$4:$D$140,"11",'Podaci 5. razina'!$I$4:$I$140,"31")</f>
        <v>29624.639999999999</v>
      </c>
      <c r="C51" s="6">
        <f>SUMIFS('Podaci 5. razina'!$K$4:$K$140,'Podaci 5. razina'!$B$4:$B$140,"18055023",'Podaci 5. razina'!$D$4:$D$140,"11",'Podaci 5. razina'!$I$4:$I$140,"31")</f>
        <v>31600</v>
      </c>
      <c r="D51" s="6">
        <f>SUMIFS('Podaci 5. razina'!$L$4:$L$140,'Podaci 5. razina'!$B$4:$B$140,"18055023",'Podaci 5. razina'!$D$4:$D$140,"11",'Podaci 5. razina'!$I$4:$I$140,"31")</f>
        <v>31600</v>
      </c>
      <c r="E51" s="6">
        <f>SUMIFS('Podaci 5. razina'!$M$4:$M$140,'Podaci 5. razina'!$B$4:$B$140,"18055023",'Podaci 5. razina'!$D$4:$D$140,"11",'Podaci 5. razina'!$I$4:$I$140,"31")</f>
        <v>31600</v>
      </c>
      <c r="F51" s="6">
        <f>SUMIFS('Podaci 5. razina'!$N$4:$N$140,'Podaci 5. razina'!$B$4:$B$140,"18055023",'Podaci 5. razina'!$D$4:$D$140,"11",'Podaci 5. razina'!$I$4:$I$140,"31")</f>
        <v>31600</v>
      </c>
    </row>
    <row r="52" spans="1:6" x14ac:dyDescent="0.25">
      <c r="A52" s="23" t="s">
        <v>38</v>
      </c>
      <c r="B52" s="6">
        <f>SUMIFS('Podaci 5. razina'!$J$4:$J$140,'Podaci 5. razina'!$B$4:$B$140,"18055023",'Podaci 5. razina'!$D$4:$D$140,"11",'Podaci 5. razina'!$I$4:$I$140,"32")</f>
        <v>1652.64</v>
      </c>
      <c r="C52" s="6">
        <f>SUMIFS('Podaci 5. razina'!$K$4:$K$140,'Podaci 5. razina'!$B$4:$B$140,"18055023",'Podaci 5. razina'!$D$4:$D$140,"11",'Podaci 5. razina'!$I$4:$I$140,"32")</f>
        <v>1950</v>
      </c>
      <c r="D52" s="6">
        <f>SUMIFS('Podaci 5. razina'!$L$4:$L$140,'Podaci 5. razina'!$B$4:$B$140,"18055023",'Podaci 5. razina'!$D$4:$D$140,"11",'Podaci 5. razina'!$I$4:$I$140,"32")</f>
        <v>1700</v>
      </c>
      <c r="E52" s="6">
        <f>SUMIFS('Podaci 5. razina'!$M$4:$M$140,'Podaci 5. razina'!$B$4:$B$140,"18055023",'Podaci 5. razina'!$D$4:$D$140,"11",'Podaci 5. razina'!$I$4:$I$140,"32")</f>
        <v>1700</v>
      </c>
      <c r="F52" s="6">
        <f>SUMIFS('Podaci 5. razina'!$N$4:$N$140,'Podaci 5. razina'!$B$4:$B$140,"18055023",'Podaci 5. razina'!$D$4:$D$140,"11",'Podaci 5. razina'!$I$4:$I$140,"32")</f>
        <v>1700</v>
      </c>
    </row>
    <row r="53" spans="1:6" x14ac:dyDescent="0.25">
      <c r="A53" s="17" t="s">
        <v>87</v>
      </c>
      <c r="B53" s="4">
        <f>B54+B57</f>
        <v>53175.34</v>
      </c>
      <c r="C53" s="4">
        <f>C54+C57</f>
        <v>73920</v>
      </c>
      <c r="D53" s="4">
        <f>D54+D57</f>
        <v>58350</v>
      </c>
      <c r="E53" s="4">
        <f>E54+E57</f>
        <v>58350</v>
      </c>
      <c r="F53" s="4">
        <f>F54+F57</f>
        <v>58350</v>
      </c>
    </row>
    <row r="54" spans="1:6" x14ac:dyDescent="0.25">
      <c r="A54" s="18" t="s">
        <v>78</v>
      </c>
      <c r="B54" s="19">
        <f>SUM(B55:B56)</f>
        <v>27964.329999999998</v>
      </c>
      <c r="C54" s="19">
        <f>SUM(C55:C56)</f>
        <v>46700</v>
      </c>
      <c r="D54" s="19">
        <f>SUM(D55:D56)</f>
        <v>32600</v>
      </c>
      <c r="E54" s="19">
        <f>SUM(E55:E56)</f>
        <v>32600</v>
      </c>
      <c r="F54" s="19">
        <f>SUM(F55:F56)</f>
        <v>32600</v>
      </c>
    </row>
    <row r="55" spans="1:6" x14ac:dyDescent="0.25">
      <c r="A55" s="23" t="s">
        <v>37</v>
      </c>
      <c r="B55" s="6">
        <f>SUMIFS('Podaci 5. razina'!$J$4:$J$140,'Podaci 5. razina'!$B$4:$B$140,"18055036",'Podaci 5. razina'!$D$4:$D$140,"11",'Podaci 5. razina'!$I$4:$I$140,"31")</f>
        <v>27276.05</v>
      </c>
      <c r="C55" s="6">
        <f>SUMIFS('Podaci 5. razina'!$K$4:$K$140,'Podaci 5. razina'!$B$4:$B$140,"18055036",'Podaci 5. razina'!$D$4:$D$140,"11",'Podaci 5. razina'!$I$4:$I$140,"31")</f>
        <v>44300</v>
      </c>
      <c r="D55" s="6">
        <f>SUMIFS('Podaci 5. razina'!$L$4:$L$140,'Podaci 5. razina'!$B$4:$B$140,"18055036",'Podaci 5. razina'!$D$4:$D$140,"11",'Podaci 5. razina'!$I$4:$I$140,"31")</f>
        <v>30200</v>
      </c>
      <c r="E55" s="6">
        <f>SUMIFS('Podaci 5. razina'!$M$4:$M$140,'Podaci 5. razina'!$B$4:$B$140,"18055036",'Podaci 5. razina'!$D$4:$D$140,"11",'Podaci 5. razina'!$I$4:$I$140,"31")</f>
        <v>30200</v>
      </c>
      <c r="F55" s="6">
        <f>SUMIFS('Podaci 5. razina'!$N$4:$N$140,'Podaci 5. razina'!$B$4:$B$140,"18055036",'Podaci 5. razina'!$D$4:$D$140,"11",'Podaci 5. razina'!$I$4:$I$140,"31")</f>
        <v>30200</v>
      </c>
    </row>
    <row r="56" spans="1:6" x14ac:dyDescent="0.25">
      <c r="A56" s="23" t="s">
        <v>38</v>
      </c>
      <c r="B56" s="6">
        <f>SUMIFS('Podaci 5. razina'!$J$4:$J$140,'Podaci 5. razina'!$B$4:$B$140,"18055036",'Podaci 5. razina'!$D$4:$D$140,"11",'Podaci 5. razina'!$I$4:$I$140,"32")</f>
        <v>688.28</v>
      </c>
      <c r="C56" s="6">
        <f>SUMIFS('Podaci 5. razina'!$K$4:$K$140,'Podaci 5. razina'!$B$4:$B$140,"18055036",'Podaci 5. razina'!$D$4:$D$140,"11",'Podaci 5. razina'!$I$4:$I$140,"32")</f>
        <v>2400</v>
      </c>
      <c r="D56" s="6">
        <f>SUMIFS('Podaci 5. razina'!$L$4:$L$140,'Podaci 5. razina'!$B$4:$B$140,"18055036",'Podaci 5. razina'!$D$4:$D$140,"11",'Podaci 5. razina'!$I$4:$I$140,"32")</f>
        <v>2400</v>
      </c>
      <c r="E56" s="6">
        <f>SUMIFS('Podaci 5. razina'!$M$4:$M$140,'Podaci 5. razina'!$B$4:$B$140,"18055036",'Podaci 5. razina'!$D$4:$D$140,"11",'Podaci 5. razina'!$I$4:$I$140,"32")</f>
        <v>2400</v>
      </c>
      <c r="F56" s="6">
        <f>SUMIFS('Podaci 5. razina'!$N$4:$N$140,'Podaci 5. razina'!$B$4:$B$140,"18055036",'Podaci 5. razina'!$D$4:$D$140,"11",'Podaci 5. razina'!$I$4:$I$140,"32")</f>
        <v>2400</v>
      </c>
    </row>
    <row r="57" spans="1:6" x14ac:dyDescent="0.25">
      <c r="A57" s="18" t="s">
        <v>88</v>
      </c>
      <c r="B57" s="19">
        <f>SUM(B58:B59)</f>
        <v>25211.01</v>
      </c>
      <c r="C57" s="19">
        <f>SUM(C58:C59)</f>
        <v>27220</v>
      </c>
      <c r="D57" s="19">
        <f>SUM(D58:D59)</f>
        <v>25750</v>
      </c>
      <c r="E57" s="19">
        <f>SUM(E58:E59)</f>
        <v>25750</v>
      </c>
      <c r="F57" s="19">
        <f>SUM(F58:F59)</f>
        <v>25750</v>
      </c>
    </row>
    <row r="58" spans="1:6" x14ac:dyDescent="0.25">
      <c r="A58" s="23" t="s">
        <v>37</v>
      </c>
      <c r="B58" s="6">
        <f>SUMIFS('Podaci 5. razina'!$J$4:$J$140,'Podaci 5. razina'!$B$4:$B$140,"18055036",'Podaci 5. razina'!$D$4:$D$140,"561",'Podaci 5. razina'!$I$4:$I$140,"31")</f>
        <v>24137</v>
      </c>
      <c r="C58" s="6">
        <f>SUMIFS('Podaci 5. razina'!$K$4:$K$140,'Podaci 5. razina'!$B$4:$B$140,"18055036",'Podaci 5. razina'!$D$4:$D$140,"561",'Podaci 5. razina'!$I$4:$I$140,"31")</f>
        <v>26000</v>
      </c>
      <c r="D58" s="6">
        <f>SUMIFS('Podaci 5. razina'!$L$4:$L$140,'Podaci 5. razina'!$B$4:$B$140,"18055036",'Podaci 5. razina'!$D$4:$D$140,"561",'Podaci 5. razina'!$I$4:$I$140,"31")</f>
        <v>24500</v>
      </c>
      <c r="E58" s="6">
        <f>SUMIFS('Podaci 5. razina'!$M$4:$M$140,'Podaci 5. razina'!$B$4:$B$140,"18055036",'Podaci 5. razina'!$D$4:$D$140,"561",'Podaci 5. razina'!$I$4:$I$140,"31")</f>
        <v>24500</v>
      </c>
      <c r="F58" s="6">
        <f>SUMIFS('Podaci 5. razina'!$N$4:$N$140,'Podaci 5. razina'!$B$4:$B$140,"18055036",'Podaci 5. razina'!$D$4:$D$140,"561",'Podaci 5. razina'!$I$4:$I$140,"31")</f>
        <v>24500</v>
      </c>
    </row>
    <row r="59" spans="1:6" x14ac:dyDescent="0.25">
      <c r="A59" s="23" t="s">
        <v>38</v>
      </c>
      <c r="B59" s="6">
        <f>SUMIFS('Podaci 5. razina'!$J$4:$J$140,'Podaci 5. razina'!$B$4:$B$140,"18055036",'Podaci 5. razina'!$D$4:$D$140,"561",'Podaci 5. razina'!$I$4:$I$140,"32")</f>
        <v>1074.01</v>
      </c>
      <c r="C59" s="6">
        <f>SUMIFS('Podaci 5. razina'!$K$4:$K$140,'Podaci 5. razina'!$B$4:$B$140,"18055036",'Podaci 5. razina'!$D$4:$D$140,"561",'Podaci 5. razina'!$I$4:$I$140,"32")</f>
        <v>1220</v>
      </c>
      <c r="D59" s="6">
        <f>SUMIFS('Podaci 5. razina'!$L$4:$L$140,'Podaci 5. razina'!$B$4:$B$140,"18055036",'Podaci 5. razina'!$D$4:$D$140,"561",'Podaci 5. razina'!$I$4:$I$140,"32")</f>
        <v>1250</v>
      </c>
      <c r="E59" s="6">
        <f>SUMIFS('Podaci 5. razina'!$M$4:$M$140,'Podaci 5. razina'!$B$4:$B$140,"18055036",'Podaci 5. razina'!$D$4:$D$140,"561",'Podaci 5. razina'!$I$4:$I$140,"32")</f>
        <v>1250</v>
      </c>
      <c r="F59" s="6">
        <f>SUMIFS('Podaci 5. razina'!$N$4:$N$140,'Podaci 5. razina'!$B$4:$B$140,"18055036",'Podaci 5. razina'!$D$4:$D$140,"561",'Podaci 5. razina'!$I$4:$I$140,"32")</f>
        <v>1250</v>
      </c>
    </row>
    <row r="60" spans="1:6" x14ac:dyDescent="0.25">
      <c r="A60" s="17" t="s">
        <v>89</v>
      </c>
      <c r="B60" s="4">
        <f>B61</f>
        <v>20334.509999999998</v>
      </c>
      <c r="C60" s="4">
        <f>C61</f>
        <v>21000</v>
      </c>
      <c r="D60" s="4">
        <f>D61</f>
        <v>22000</v>
      </c>
      <c r="E60" s="4">
        <f>E61</f>
        <v>22000</v>
      </c>
      <c r="F60" s="4">
        <f>F61</f>
        <v>22000</v>
      </c>
    </row>
    <row r="61" spans="1:6" ht="24" x14ac:dyDescent="0.25">
      <c r="A61" s="18" t="s">
        <v>74</v>
      </c>
      <c r="B61" s="19">
        <f>SUM(B62:B62)</f>
        <v>20334.509999999998</v>
      </c>
      <c r="C61" s="19">
        <f>SUM(C62:C62)</f>
        <v>21000</v>
      </c>
      <c r="D61" s="19">
        <f>SUM(D62:D62)</f>
        <v>22000</v>
      </c>
      <c r="E61" s="19">
        <f>SUM(E62:E62)</f>
        <v>22000</v>
      </c>
      <c r="F61" s="19">
        <f>SUM(F62:F62)</f>
        <v>22000</v>
      </c>
    </row>
    <row r="62" spans="1:6" x14ac:dyDescent="0.25">
      <c r="A62" s="23" t="s">
        <v>43</v>
      </c>
      <c r="B62" s="6">
        <f>SUMIFS('Podaci 5. razina'!$J$4:$J$140,'Podaci 5. razina'!$B$4:$B$140,"18055039",'Podaci 5. razina'!$D$4:$D$140,"5011",'Podaci 5. razina'!$I$4:$I$140,"42")</f>
        <v>20334.509999999998</v>
      </c>
      <c r="C62" s="6">
        <f>SUMIFS('Podaci 5. razina'!$K$4:$K$140,'Podaci 5. razina'!$B$4:$B$140,"18055039",'Podaci 5. razina'!$D$4:$D$140,"5011",'Podaci 5. razina'!$I$4:$I$140,"42")</f>
        <v>21000</v>
      </c>
      <c r="D62" s="6">
        <f>SUMIFS('Podaci 5. razina'!$L$4:$L$140,'Podaci 5. razina'!$B$4:$B$140,"18055039",'Podaci 5. razina'!$D$4:$D$140,"5011",'Podaci 5. razina'!$I$4:$I$140,"42")</f>
        <v>22000</v>
      </c>
      <c r="E62" s="6">
        <f>SUMIFS('Podaci 5. razina'!$M$4:$M$140,'Podaci 5. razina'!$B$4:$B$140,"18055039",'Podaci 5. razina'!$D$4:$D$140,"5011",'Podaci 5. razina'!$I$4:$I$140,"42")</f>
        <v>22000</v>
      </c>
      <c r="F62" s="6">
        <f>SUMIFS('Podaci 5. razina'!$N$4:$N$140,'Podaci 5. razina'!$B$4:$B$140,"18055039",'Podaci 5. razina'!$D$4:$D$140,"5011",'Podaci 5. razina'!$I$4:$I$140,"42")</f>
        <v>22000</v>
      </c>
    </row>
    <row r="63" spans="1:6" x14ac:dyDescent="0.25">
      <c r="A63" s="17" t="s">
        <v>90</v>
      </c>
      <c r="B63" s="4">
        <f>B64</f>
        <v>1820</v>
      </c>
      <c r="C63" s="4">
        <f>C64</f>
        <v>2000</v>
      </c>
      <c r="D63" s="4">
        <f>D64</f>
        <v>2000</v>
      </c>
      <c r="E63" s="4">
        <f>E64</f>
        <v>2000</v>
      </c>
      <c r="F63" s="4">
        <f>F64</f>
        <v>2000</v>
      </c>
    </row>
    <row r="64" spans="1:6" x14ac:dyDescent="0.25">
      <c r="A64" s="18" t="s">
        <v>91</v>
      </c>
      <c r="B64" s="19">
        <f>SUM(B65:B65)</f>
        <v>1820</v>
      </c>
      <c r="C64" s="19">
        <f>SUM(C65:C65)</f>
        <v>2000</v>
      </c>
      <c r="D64" s="19">
        <f>SUM(D65:D65)</f>
        <v>2000</v>
      </c>
      <c r="E64" s="19">
        <f>SUM(E65:E65)</f>
        <v>2000</v>
      </c>
      <c r="F64" s="19">
        <f>SUM(F65:F65)</f>
        <v>2000</v>
      </c>
    </row>
    <row r="65" spans="1:6" x14ac:dyDescent="0.25">
      <c r="A65" s="23" t="s">
        <v>38</v>
      </c>
      <c r="B65" s="6">
        <f>SUMIFS('Podaci 5. razina'!$J$4:$J$140,'Podaci 5. razina'!$B$4:$B$140,"18055040",'Podaci 5. razina'!$D$4:$D$140,"565",'Podaci 5. razina'!$I$4:$I$140,"32")</f>
        <v>1820</v>
      </c>
      <c r="C65" s="6">
        <f>SUMIFS('Podaci 5. razina'!$K$4:$K$140,'Podaci 5. razina'!$B$4:$B$140,"18055040",'Podaci 5. razina'!$D$4:$D$140,"565",'Podaci 5. razina'!$I$4:$I$140,"32")</f>
        <v>2000</v>
      </c>
      <c r="D65" s="6">
        <f>SUMIFS('Podaci 5. razina'!$L$4:$L$140,'Podaci 5. razina'!$B$4:$B$140,"18055040",'Podaci 5. razina'!$D$4:$D$140,"565",'Podaci 5. razina'!$I$4:$I$140,"32")</f>
        <v>2000</v>
      </c>
      <c r="E65" s="6">
        <f>SUMIFS('Podaci 5. razina'!$M$4:$M$140,'Podaci 5. razina'!$B$4:$B$140,"18055040",'Podaci 5. razina'!$D$4:$D$140,"565",'Podaci 5. razina'!$I$4:$I$140,"32")</f>
        <v>2000</v>
      </c>
      <c r="F65" s="6">
        <f>SUMIFS('Podaci 5. razina'!$N$4:$N$140,'Podaci 5. razina'!$B$4:$B$140,"18055040",'Podaci 5. razina'!$D$4:$D$140,"565",'Podaci 5. razina'!$I$4:$I$140,"32")</f>
        <v>2000</v>
      </c>
    </row>
    <row r="66" spans="1:6" x14ac:dyDescent="0.25">
      <c r="A66" s="17" t="s">
        <v>92</v>
      </c>
      <c r="B66" s="4">
        <f>B67+B72</f>
        <v>76688.03</v>
      </c>
      <c r="C66" s="4">
        <f>C67+C72</f>
        <v>90000</v>
      </c>
      <c r="D66" s="4">
        <f>D67+D72</f>
        <v>109000</v>
      </c>
      <c r="E66" s="4">
        <f>E67+E72</f>
        <v>109000</v>
      </c>
      <c r="F66" s="4">
        <f>F67+F72</f>
        <v>109000</v>
      </c>
    </row>
    <row r="67" spans="1:6" x14ac:dyDescent="0.25">
      <c r="A67" s="18" t="s">
        <v>78</v>
      </c>
      <c r="B67" s="19">
        <f>SUM(B68:B71)</f>
        <v>19280.690000000002</v>
      </c>
      <c r="C67" s="19">
        <f>SUM(C68:C71)</f>
        <v>0</v>
      </c>
      <c r="D67" s="19">
        <f>SUM(D68:D71)</f>
        <v>17000</v>
      </c>
      <c r="E67" s="19">
        <f>SUM(E68:E71)</f>
        <v>17000</v>
      </c>
      <c r="F67" s="19">
        <f>SUM(F68:F71)</f>
        <v>17000</v>
      </c>
    </row>
    <row r="68" spans="1:6" x14ac:dyDescent="0.25">
      <c r="A68" s="23" t="s">
        <v>37</v>
      </c>
      <c r="B68" s="6">
        <f>SUMIFS('Podaci 5. razina'!$J$4:$J$140,'Podaci 5. razina'!$B$4:$B$140,"18055043",'Podaci 5. razina'!$D$4:$D$140,"11",'Podaci 5. razina'!$I$4:$I$140,"31")</f>
        <v>5074.0600000000004</v>
      </c>
      <c r="C68" s="6">
        <f>SUMIFS('Podaci 5. razina'!$K$4:$K$140,'Podaci 5. razina'!$B$4:$B$140,"18055043",'Podaci 5. razina'!$D$4:$D$140,"11",'Podaci 5. razina'!$I$4:$I$140,"31")</f>
        <v>0</v>
      </c>
      <c r="D68" s="6">
        <f>SUMIFS('Podaci 5. razina'!$L$4:$L$140,'Podaci 5. razina'!$B$4:$B$140,"18055043",'Podaci 5. razina'!$D$4:$D$140,"11",'Podaci 5. razina'!$I$4:$I$140,"31")</f>
        <v>0</v>
      </c>
      <c r="E68" s="6">
        <f>SUMIFS('Podaci 5. razina'!$M$4:$M$140,'Podaci 5. razina'!$B$4:$B$140,"18055043",'Podaci 5. razina'!$D$4:$D$140,"11",'Podaci 5. razina'!$I$4:$I$140,"31")</f>
        <v>0</v>
      </c>
      <c r="F68" s="6">
        <f>SUMIFS('Podaci 5. razina'!$N$4:$N$140,'Podaci 5. razina'!$B$4:$B$140,"18055043",'Podaci 5. razina'!$D$4:$D$140,"11",'Podaci 5. razina'!$I$4:$I$140,"31")</f>
        <v>0</v>
      </c>
    </row>
    <row r="69" spans="1:6" x14ac:dyDescent="0.25">
      <c r="A69" s="23" t="s">
        <v>38</v>
      </c>
      <c r="B69" s="6">
        <f>SUMIFS('Podaci 5. razina'!$J$4:$J$140,'Podaci 5. razina'!$B$4:$B$140,"18055043",'Podaci 5. razina'!$D$4:$D$140,"11",'Podaci 5. razina'!$I$4:$I$140,"32")</f>
        <v>2806.63</v>
      </c>
      <c r="C69" s="6">
        <f>SUMIFS('Podaci 5. razina'!$K$4:$K$140,'Podaci 5. razina'!$B$4:$B$140,"18055043",'Podaci 5. razina'!$D$4:$D$140,"11",'Podaci 5. razina'!$I$4:$I$140,"32")</f>
        <v>0</v>
      </c>
      <c r="D69" s="6">
        <f>SUMIFS('Podaci 5. razina'!$L$4:$L$140,'Podaci 5. razina'!$B$4:$B$140,"18055043",'Podaci 5. razina'!$D$4:$D$140,"11",'Podaci 5. razina'!$I$4:$I$140,"32")</f>
        <v>0</v>
      </c>
      <c r="E69" s="6">
        <f>SUMIFS('Podaci 5. razina'!$M$4:$M$140,'Podaci 5. razina'!$B$4:$B$140,"18055043",'Podaci 5. razina'!$D$4:$D$140,"11",'Podaci 5. razina'!$I$4:$I$140,"32")</f>
        <v>0</v>
      </c>
      <c r="F69" s="6">
        <f>SUMIFS('Podaci 5. razina'!$N$4:$N$140,'Podaci 5. razina'!$B$4:$B$140,"18055043",'Podaci 5. razina'!$D$4:$D$140,"11",'Podaci 5. razina'!$I$4:$I$140,"32")</f>
        <v>0</v>
      </c>
    </row>
    <row r="70" spans="1:6" ht="24" x14ac:dyDescent="0.25">
      <c r="A70" s="23" t="s">
        <v>40</v>
      </c>
      <c r="B70" s="6">
        <f>SUMIFS('Podaci 5. razina'!$J$4:$J$140,'Podaci 5. razina'!$B$4:$B$140,"18055043",'Podaci 5. razina'!$D$4:$D$140,"11",'Podaci 5. razina'!$I$4:$I$140,"37")</f>
        <v>1800</v>
      </c>
      <c r="C70" s="6">
        <f>SUMIFS('Podaci 5. razina'!$K$4:$K$140,'Podaci 5. razina'!$B$4:$B$140,"18055043",'Podaci 5. razina'!$D$4:$D$140,"11",'Podaci 5. razina'!$I$4:$I$140,"37")</f>
        <v>0</v>
      </c>
      <c r="D70" s="6">
        <f>SUMIFS('Podaci 5. razina'!$L$4:$L$140,'Podaci 5. razina'!$B$4:$B$140,"18055043",'Podaci 5. razina'!$D$4:$D$140,"11",'Podaci 5. razina'!$I$4:$I$140,"37")</f>
        <v>17000</v>
      </c>
      <c r="E70" s="6">
        <f>SUMIFS('Podaci 5. razina'!$M$4:$M$140,'Podaci 5. razina'!$B$4:$B$140,"18055043",'Podaci 5. razina'!$D$4:$D$140,"11",'Podaci 5. razina'!$I$4:$I$140,"37")</f>
        <v>17000</v>
      </c>
      <c r="F70" s="6">
        <f>SUMIFS('Podaci 5. razina'!$N$4:$N$140,'Podaci 5. razina'!$B$4:$B$140,"18055043",'Podaci 5. razina'!$D$4:$D$140,"11",'Podaci 5. razina'!$I$4:$I$140,"37")</f>
        <v>17000</v>
      </c>
    </row>
    <row r="71" spans="1:6" x14ac:dyDescent="0.25">
      <c r="A71" s="23" t="s">
        <v>43</v>
      </c>
      <c r="B71" s="6">
        <f>SUMIFS('Podaci 5. razina'!$J$4:$J$140,'Podaci 5. razina'!$B$4:$B$140,"18055043",'Podaci 5. razina'!$D$4:$D$140,"11",'Podaci 5. razina'!$I$4:$I$140,"42")</f>
        <v>9600</v>
      </c>
      <c r="C71" s="6">
        <f>SUMIFS('Podaci 5. razina'!$K$4:$K$140,'Podaci 5. razina'!$B$4:$B$140,"18055043",'Podaci 5. razina'!$D$4:$D$140,"11",'Podaci 5. razina'!$I$4:$I$140,"42")</f>
        <v>0</v>
      </c>
      <c r="D71" s="6">
        <f>SUMIFS('Podaci 5. razina'!$L$4:$L$140,'Podaci 5. razina'!$B$4:$B$140,"18055043",'Podaci 5. razina'!$D$4:$D$140,"11",'Podaci 5. razina'!$I$4:$I$140,"42")</f>
        <v>0</v>
      </c>
      <c r="E71" s="6">
        <f>SUMIFS('Podaci 5. razina'!$M$4:$M$140,'Podaci 5. razina'!$B$4:$B$140,"18055043",'Podaci 5. razina'!$D$4:$D$140,"11",'Podaci 5. razina'!$I$4:$I$140,"42")</f>
        <v>0</v>
      </c>
      <c r="F71" s="6">
        <f>SUMIFS('Podaci 5. razina'!$N$4:$N$140,'Podaci 5. razina'!$B$4:$B$140,"18055043",'Podaci 5. razina'!$D$4:$D$140,"11",'Podaci 5. razina'!$I$4:$I$140,"42")</f>
        <v>0</v>
      </c>
    </row>
    <row r="72" spans="1:6" ht="24" x14ac:dyDescent="0.25">
      <c r="A72" s="18" t="s">
        <v>74</v>
      </c>
      <c r="B72" s="19">
        <f>SUM(B73:B73)</f>
        <v>57407.34</v>
      </c>
      <c r="C72" s="19">
        <f>SUM(C73:C73)</f>
        <v>90000</v>
      </c>
      <c r="D72" s="19">
        <f>SUM(D73:D73)</f>
        <v>92000</v>
      </c>
      <c r="E72" s="19">
        <f>SUM(E73:E73)</f>
        <v>92000</v>
      </c>
      <c r="F72" s="19">
        <f>SUM(F73:F73)</f>
        <v>92000</v>
      </c>
    </row>
    <row r="73" spans="1:6" x14ac:dyDescent="0.25">
      <c r="A73" s="23" t="s">
        <v>38</v>
      </c>
      <c r="B73" s="6">
        <f>SUMIFS('Podaci 5. razina'!$J$4:$J$140,'Podaci 5. razina'!$B$4:$B$140,"18055043",'Podaci 5. razina'!$D$4:$D$140,"5011",'Podaci 5. razina'!$I$4:$I$140,"32")</f>
        <v>57407.34</v>
      </c>
      <c r="C73" s="6">
        <f>SUMIFS('Podaci 5. razina'!$K$4:$K$140,'Podaci 5. razina'!$B$4:$B$140,"18055043",'Podaci 5. razina'!$D$4:$D$140,"5011",'Podaci 5. razina'!$I$4:$I$140,"32")</f>
        <v>90000</v>
      </c>
      <c r="D73" s="6">
        <f>SUMIFS('Podaci 5. razina'!$L$4:$L$140,'Podaci 5. razina'!$B$4:$B$140,"18055043",'Podaci 5. razina'!$D$4:$D$140,"5011",'Podaci 5. razina'!$I$4:$I$140,"32")</f>
        <v>92000</v>
      </c>
      <c r="E73" s="6">
        <f>SUMIFS('Podaci 5. razina'!$M$4:$M$140,'Podaci 5. razina'!$B$4:$B$140,"18055043",'Podaci 5. razina'!$D$4:$D$140,"5011",'Podaci 5. razina'!$I$4:$I$140,"32")</f>
        <v>92000</v>
      </c>
      <c r="F73" s="6">
        <f>SUMIFS('Podaci 5. razina'!$N$4:$N$140,'Podaci 5. razina'!$B$4:$B$140,"18055043",'Podaci 5. razina'!$D$4:$D$140,"5011",'Podaci 5. razina'!$I$4:$I$140,"32")</f>
        <v>92000</v>
      </c>
    </row>
    <row r="74" spans="1:6" ht="24" x14ac:dyDescent="0.25">
      <c r="A74" s="15" t="s">
        <v>93</v>
      </c>
      <c r="B74" s="16">
        <f t="shared" ref="B74:F75" si="1">B75</f>
        <v>5970</v>
      </c>
      <c r="C74" s="16">
        <f t="shared" si="1"/>
        <v>5970</v>
      </c>
      <c r="D74" s="16">
        <f t="shared" si="1"/>
        <v>5970</v>
      </c>
      <c r="E74" s="16">
        <f t="shared" si="1"/>
        <v>5970</v>
      </c>
      <c r="F74" s="16">
        <f t="shared" si="1"/>
        <v>5970</v>
      </c>
    </row>
    <row r="75" spans="1:6" x14ac:dyDescent="0.25">
      <c r="A75" s="17" t="s">
        <v>94</v>
      </c>
      <c r="B75" s="4">
        <f t="shared" si="1"/>
        <v>5970</v>
      </c>
      <c r="C75" s="4">
        <f t="shared" si="1"/>
        <v>5970</v>
      </c>
      <c r="D75" s="4">
        <f t="shared" si="1"/>
        <v>5970</v>
      </c>
      <c r="E75" s="4">
        <f t="shared" si="1"/>
        <v>5970</v>
      </c>
      <c r="F75" s="4">
        <f t="shared" si="1"/>
        <v>5970</v>
      </c>
    </row>
    <row r="76" spans="1:6" ht="24" x14ac:dyDescent="0.25">
      <c r="A76" s="18" t="s">
        <v>74</v>
      </c>
      <c r="B76" s="19">
        <f>SUM(B77:B77)</f>
        <v>5970</v>
      </c>
      <c r="C76" s="19">
        <f>SUM(C77:C77)</f>
        <v>5970</v>
      </c>
      <c r="D76" s="19">
        <f>SUM(D77:D77)</f>
        <v>5970</v>
      </c>
      <c r="E76" s="19">
        <f>SUM(E77:E77)</f>
        <v>5970</v>
      </c>
      <c r="F76" s="19">
        <f>SUM(F77:F77)</f>
        <v>5970</v>
      </c>
    </row>
    <row r="77" spans="1:6" x14ac:dyDescent="0.25">
      <c r="A77" s="23" t="s">
        <v>43</v>
      </c>
      <c r="B77" s="6">
        <f>SUMIFS('Podaci 5. razina'!$J$4:$J$140,'Podaci 5. razina'!$B$4:$B$140,"18056002",'Podaci 5. razina'!$D$4:$D$140,"5011",'Podaci 5. razina'!$I$4:$I$140,"42")</f>
        <v>5970</v>
      </c>
      <c r="C77" s="6">
        <f>SUMIFS('Podaci 5. razina'!$K$4:$K$140,'Podaci 5. razina'!$B$4:$B$140,"18056002",'Podaci 5. razina'!$D$4:$D$140,"5011",'Podaci 5. razina'!$I$4:$I$140,"42")</f>
        <v>5970</v>
      </c>
      <c r="D77" s="6">
        <f>SUMIFS('Podaci 5. razina'!$L$4:$L$140,'Podaci 5. razina'!$B$4:$B$140,"18056002",'Podaci 5. razina'!$D$4:$D$140,"5011",'Podaci 5. razina'!$I$4:$I$140,"42")</f>
        <v>5970</v>
      </c>
      <c r="E77" s="6">
        <f>SUMIFS('Podaci 5. razina'!$M$4:$M$140,'Podaci 5. razina'!$B$4:$B$140,"18056002",'Podaci 5. razina'!$D$4:$D$140,"5011",'Podaci 5. razina'!$I$4:$I$140,"42")</f>
        <v>5970</v>
      </c>
      <c r="F77" s="6">
        <f>SUMIFS('Podaci 5. razina'!$N$4:$N$140,'Podaci 5. razina'!$B$4:$B$140,"18056002",'Podaci 5. razina'!$D$4:$D$140,"5011",'Podaci 5. razina'!$I$4:$I$140,"42")</f>
        <v>5970</v>
      </c>
    </row>
    <row r="78" spans="1:6" ht="24" x14ac:dyDescent="0.25">
      <c r="A78" s="15" t="s">
        <v>95</v>
      </c>
      <c r="B78" s="16">
        <f>B79</f>
        <v>0</v>
      </c>
      <c r="C78" s="16">
        <f>C79</f>
        <v>140000</v>
      </c>
      <c r="D78" s="16">
        <f>D79</f>
        <v>250000</v>
      </c>
      <c r="E78" s="16">
        <f>E79</f>
        <v>0</v>
      </c>
      <c r="F78" s="16">
        <f>F79</f>
        <v>0</v>
      </c>
    </row>
    <row r="79" spans="1:6" x14ac:dyDescent="0.25">
      <c r="A79" s="18" t="s">
        <v>78</v>
      </c>
      <c r="B79" s="19">
        <f>SUM(B80:B80)</f>
        <v>0</v>
      </c>
      <c r="C79" s="19">
        <f>SUM(C80:C80)</f>
        <v>140000</v>
      </c>
      <c r="D79" s="19">
        <f>SUM(D80:D80)</f>
        <v>250000</v>
      </c>
      <c r="E79" s="19">
        <f>SUM(E80:E80)</f>
        <v>0</v>
      </c>
      <c r="F79" s="19">
        <f>SUM(F80:F80)</f>
        <v>0</v>
      </c>
    </row>
    <row r="80" spans="1:6" x14ac:dyDescent="0.25">
      <c r="A80" s="23" t="s">
        <v>43</v>
      </c>
      <c r="B80" s="6">
        <f>SUMIFS('Podaci 5. razina'!$J$4:$J$140,'Podaci 5. razina'!$B$4:$B$140,"18057",'Podaci 5. razina'!$D$4:$D$140,"11",'Podaci 5. razina'!$I$4:$I$140,"42")</f>
        <v>0</v>
      </c>
      <c r="C80" s="6">
        <f>SUMIFS('Podaci 5. razina'!$K$4:$K$140,'Podaci 5. razina'!$B$4:$B$140,"18057",'Podaci 5. razina'!$D$4:$D$140,"11",'Podaci 5. razina'!$I$4:$I$140,"42")</f>
        <v>140000</v>
      </c>
      <c r="D80" s="6">
        <f>SUMIFS('Podaci 5. razina'!$L$4:$L$140,'Podaci 5. razina'!$B$4:$B$140,"18057",'Podaci 5. razina'!$D$4:$D$140,"11",'Podaci 5. razina'!$I$4:$I$140,"42")</f>
        <v>250000</v>
      </c>
      <c r="E80" s="6">
        <f>SUMIFS('Podaci 5. razina'!$M$4:$M$140,'Podaci 5. razina'!$B$4:$B$140,"18057",'Podaci 5. razina'!$D$4:$D$140,"11",'Podaci 5. razina'!$I$4:$I$140,"42")</f>
        <v>0</v>
      </c>
      <c r="F80" s="6">
        <f>SUMIFS('Podaci 5. razina'!$N$4:$N$140,'Podaci 5. razina'!$B$4:$B$140,"18057",'Podaci 5. razina'!$D$4:$D$140,"11",'Podaci 5. razina'!$I$4:$I$140,"42")</f>
        <v>0</v>
      </c>
    </row>
    <row r="82" spans="1:6" x14ac:dyDescent="0.25">
      <c r="A82" s="31" t="s">
        <v>96</v>
      </c>
      <c r="B82" s="12">
        <f>B6-' Račun prihoda i rashoda'!D33</f>
        <v>0</v>
      </c>
      <c r="C82" s="12">
        <f>C6-' Račun prihoda i rashoda'!E33</f>
        <v>0</v>
      </c>
      <c r="D82" s="12">
        <f>D6-' Račun prihoda i rashoda'!F33</f>
        <v>0</v>
      </c>
      <c r="E82" s="12">
        <f>E6-' Račun prihoda i rashoda'!G33</f>
        <v>0</v>
      </c>
      <c r="F82" s="12">
        <f>F6-' Račun prihoda i rashoda'!H33</f>
        <v>0</v>
      </c>
    </row>
  </sheetData>
  <mergeCells count="2">
    <mergeCell ref="A1:F1"/>
    <mergeCell ref="A3:F3"/>
  </mergeCells>
  <pageMargins left="0.75" right="0.75" top="1" bottom="1" header="0.511811023622047" footer="0.511811023622047"/>
  <pageSetup scale="78" fitToHeight="0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1"/>
  <sheetViews>
    <sheetView showGridLines="0" zoomScaleNormal="100" workbookViewId="0">
      <pane ySplit="3" topLeftCell="A46" activePane="bottomLeft" state="frozen"/>
      <selection pane="bottomLeft" activeCell="E87" sqref="E87"/>
    </sheetView>
  </sheetViews>
  <sheetFormatPr defaultColWidth="8.7109375" defaultRowHeight="15" x14ac:dyDescent="0.25"/>
  <cols>
    <col min="1" max="1" width="8" customWidth="1"/>
    <col min="2" max="2" width="10" customWidth="1"/>
    <col min="3" max="3" width="34" customWidth="1"/>
    <col min="4" max="4" width="9" customWidth="1"/>
    <col min="5" max="5" width="11" customWidth="1"/>
    <col min="6" max="6" width="8" customWidth="1"/>
    <col min="7" max="7" width="44" customWidth="1"/>
    <col min="8" max="8" width="7" customWidth="1"/>
    <col min="9" max="9" width="8" customWidth="1"/>
    <col min="10" max="14" width="13" customWidth="1"/>
  </cols>
  <sheetData>
    <row r="1" spans="1:14" x14ac:dyDescent="0.25">
      <c r="A1" s="20" t="s">
        <v>97</v>
      </c>
    </row>
    <row r="3" spans="1:14" ht="30" customHeight="1" x14ac:dyDescent="0.25">
      <c r="A3" s="2" t="s">
        <v>98</v>
      </c>
      <c r="B3" s="2" t="s">
        <v>99</v>
      </c>
      <c r="C3" s="2" t="s">
        <v>100</v>
      </c>
      <c r="D3" s="2" t="s">
        <v>101</v>
      </c>
      <c r="E3" s="2" t="s">
        <v>102</v>
      </c>
      <c r="F3" s="2" t="s">
        <v>103</v>
      </c>
      <c r="G3" s="2" t="s">
        <v>104</v>
      </c>
      <c r="H3" s="2" t="s">
        <v>23</v>
      </c>
      <c r="I3" s="2" t="s">
        <v>24</v>
      </c>
      <c r="J3" s="2" t="s">
        <v>4</v>
      </c>
      <c r="K3" s="2" t="s">
        <v>5</v>
      </c>
      <c r="L3" s="2" t="s">
        <v>105</v>
      </c>
      <c r="M3" s="2" t="s">
        <v>106</v>
      </c>
      <c r="N3" s="2" t="s">
        <v>107</v>
      </c>
    </row>
    <row r="4" spans="1:14" x14ac:dyDescent="0.25">
      <c r="A4" s="5" t="s">
        <v>108</v>
      </c>
      <c r="B4" s="5" t="s">
        <v>109</v>
      </c>
      <c r="C4" s="5" t="s">
        <v>110</v>
      </c>
      <c r="D4" s="5" t="s">
        <v>111</v>
      </c>
      <c r="E4" s="5" t="s">
        <v>112</v>
      </c>
      <c r="F4" s="5" t="s">
        <v>113</v>
      </c>
      <c r="G4" s="5" t="s">
        <v>114</v>
      </c>
      <c r="H4" s="5" t="str">
        <f t="shared" ref="H4:H35" si="0">LEFT(F4,1)</f>
        <v>3</v>
      </c>
      <c r="I4" s="5" t="str">
        <f t="shared" ref="I4:I35" si="1">LEFT(F4,2)</f>
        <v>32</v>
      </c>
      <c r="J4" s="8">
        <v>71500</v>
      </c>
      <c r="K4" s="8">
        <v>0</v>
      </c>
      <c r="L4" s="8">
        <v>0</v>
      </c>
      <c r="M4" s="6">
        <f t="shared" ref="M4:N23" si="2">L4</f>
        <v>0</v>
      </c>
      <c r="N4" s="6">
        <f t="shared" si="2"/>
        <v>0</v>
      </c>
    </row>
    <row r="5" spans="1:14" x14ac:dyDescent="0.25">
      <c r="A5" s="5" t="s">
        <v>108</v>
      </c>
      <c r="B5" s="5" t="s">
        <v>109</v>
      </c>
      <c r="C5" s="5" t="s">
        <v>110</v>
      </c>
      <c r="D5" s="5" t="s">
        <v>111</v>
      </c>
      <c r="E5" s="5" t="s">
        <v>112</v>
      </c>
      <c r="F5" s="5" t="s">
        <v>115</v>
      </c>
      <c r="G5" s="5" t="s">
        <v>116</v>
      </c>
      <c r="H5" s="5" t="str">
        <f t="shared" si="0"/>
        <v>3</v>
      </c>
      <c r="I5" s="5" t="str">
        <f t="shared" si="1"/>
        <v>32</v>
      </c>
      <c r="J5" s="8">
        <v>0</v>
      </c>
      <c r="K5" s="8">
        <v>2900</v>
      </c>
      <c r="L5" s="8">
        <v>2900</v>
      </c>
      <c r="M5" s="6">
        <f t="shared" si="2"/>
        <v>2900</v>
      </c>
      <c r="N5" s="6">
        <f t="shared" si="2"/>
        <v>2900</v>
      </c>
    </row>
    <row r="6" spans="1:14" x14ac:dyDescent="0.25">
      <c r="A6" s="5" t="s">
        <v>108</v>
      </c>
      <c r="B6" s="5" t="s">
        <v>109</v>
      </c>
      <c r="C6" s="5" t="s">
        <v>110</v>
      </c>
      <c r="D6" s="5" t="s">
        <v>111</v>
      </c>
      <c r="E6" s="5" t="s">
        <v>112</v>
      </c>
      <c r="F6" s="5" t="s">
        <v>117</v>
      </c>
      <c r="G6" s="5" t="s">
        <v>118</v>
      </c>
      <c r="H6" s="5" t="str">
        <f t="shared" si="0"/>
        <v>3</v>
      </c>
      <c r="I6" s="5" t="str">
        <f t="shared" si="1"/>
        <v>32</v>
      </c>
      <c r="J6" s="8">
        <v>0</v>
      </c>
      <c r="K6" s="8">
        <v>1800</v>
      </c>
      <c r="L6" s="8">
        <v>1500</v>
      </c>
      <c r="M6" s="6">
        <f t="shared" si="2"/>
        <v>1500</v>
      </c>
      <c r="N6" s="6">
        <f t="shared" si="2"/>
        <v>1500</v>
      </c>
    </row>
    <row r="7" spans="1:14" x14ac:dyDescent="0.25">
      <c r="A7" s="5" t="s">
        <v>108</v>
      </c>
      <c r="B7" s="5" t="s">
        <v>109</v>
      </c>
      <c r="C7" s="5" t="s">
        <v>110</v>
      </c>
      <c r="D7" s="5" t="s">
        <v>111</v>
      </c>
      <c r="E7" s="5" t="s">
        <v>112</v>
      </c>
      <c r="F7" s="5" t="s">
        <v>119</v>
      </c>
      <c r="G7" s="5" t="s">
        <v>120</v>
      </c>
      <c r="H7" s="5" t="str">
        <f t="shared" si="0"/>
        <v>3</v>
      </c>
      <c r="I7" s="5" t="str">
        <f t="shared" si="1"/>
        <v>32</v>
      </c>
      <c r="J7" s="8">
        <v>0</v>
      </c>
      <c r="K7" s="8">
        <v>2000</v>
      </c>
      <c r="L7" s="8">
        <v>2000</v>
      </c>
      <c r="M7" s="6">
        <f t="shared" si="2"/>
        <v>2000</v>
      </c>
      <c r="N7" s="6">
        <f t="shared" si="2"/>
        <v>2000</v>
      </c>
    </row>
    <row r="8" spans="1:14" x14ac:dyDescent="0.25">
      <c r="A8" s="5" t="s">
        <v>108</v>
      </c>
      <c r="B8" s="5" t="s">
        <v>109</v>
      </c>
      <c r="C8" s="5" t="s">
        <v>110</v>
      </c>
      <c r="D8" s="5" t="s">
        <v>111</v>
      </c>
      <c r="E8" s="5" t="s">
        <v>112</v>
      </c>
      <c r="F8" s="5" t="s">
        <v>121</v>
      </c>
      <c r="G8" s="5" t="s">
        <v>122</v>
      </c>
      <c r="H8" s="5" t="str">
        <f t="shared" si="0"/>
        <v>3</v>
      </c>
      <c r="I8" s="5" t="str">
        <f t="shared" si="1"/>
        <v>32</v>
      </c>
      <c r="J8" s="8">
        <v>0</v>
      </c>
      <c r="K8" s="8">
        <v>600</v>
      </c>
      <c r="L8" s="8">
        <v>1000</v>
      </c>
      <c r="M8" s="6">
        <f t="shared" si="2"/>
        <v>1000</v>
      </c>
      <c r="N8" s="6">
        <f t="shared" si="2"/>
        <v>1000</v>
      </c>
    </row>
    <row r="9" spans="1:14" x14ac:dyDescent="0.25">
      <c r="A9" s="5" t="s">
        <v>108</v>
      </c>
      <c r="B9" s="5" t="s">
        <v>109</v>
      </c>
      <c r="C9" s="5" t="s">
        <v>110</v>
      </c>
      <c r="D9" s="5" t="s">
        <v>111</v>
      </c>
      <c r="E9" s="5" t="s">
        <v>112</v>
      </c>
      <c r="F9" s="5" t="s">
        <v>123</v>
      </c>
      <c r="G9" s="5" t="s">
        <v>124</v>
      </c>
      <c r="H9" s="5" t="str">
        <f t="shared" si="0"/>
        <v>3</v>
      </c>
      <c r="I9" s="5" t="str">
        <f t="shared" si="1"/>
        <v>32</v>
      </c>
      <c r="J9" s="8">
        <v>0</v>
      </c>
      <c r="K9" s="8">
        <v>2200</v>
      </c>
      <c r="L9" s="8">
        <v>2000</v>
      </c>
      <c r="M9" s="6">
        <f t="shared" si="2"/>
        <v>2000</v>
      </c>
      <c r="N9" s="6">
        <f t="shared" si="2"/>
        <v>2000</v>
      </c>
    </row>
    <row r="10" spans="1:14" x14ac:dyDescent="0.25">
      <c r="A10" s="5" t="s">
        <v>108</v>
      </c>
      <c r="B10" s="5" t="s">
        <v>109</v>
      </c>
      <c r="C10" s="5" t="s">
        <v>110</v>
      </c>
      <c r="D10" s="5" t="s">
        <v>111</v>
      </c>
      <c r="E10" s="5" t="s">
        <v>112</v>
      </c>
      <c r="F10" s="5" t="s">
        <v>125</v>
      </c>
      <c r="G10" s="5" t="s">
        <v>126</v>
      </c>
      <c r="H10" s="5" t="str">
        <f t="shared" si="0"/>
        <v>3</v>
      </c>
      <c r="I10" s="5" t="str">
        <f t="shared" si="1"/>
        <v>32</v>
      </c>
      <c r="J10" s="8">
        <v>0</v>
      </c>
      <c r="K10" s="8">
        <v>1200</v>
      </c>
      <c r="L10" s="8">
        <v>1700</v>
      </c>
      <c r="M10" s="6">
        <f t="shared" si="2"/>
        <v>1700</v>
      </c>
      <c r="N10" s="6">
        <f t="shared" si="2"/>
        <v>1700</v>
      </c>
    </row>
    <row r="11" spans="1:14" x14ac:dyDescent="0.25">
      <c r="A11" s="5" t="s">
        <v>108</v>
      </c>
      <c r="B11" s="5" t="s">
        <v>109</v>
      </c>
      <c r="C11" s="5" t="s">
        <v>110</v>
      </c>
      <c r="D11" s="5" t="s">
        <v>111</v>
      </c>
      <c r="E11" s="5" t="s">
        <v>112</v>
      </c>
      <c r="F11" s="5" t="s">
        <v>127</v>
      </c>
      <c r="G11" s="5" t="s">
        <v>128</v>
      </c>
      <c r="H11" s="5" t="str">
        <f t="shared" si="0"/>
        <v>3</v>
      </c>
      <c r="I11" s="5" t="str">
        <f t="shared" si="1"/>
        <v>32</v>
      </c>
      <c r="J11" s="8">
        <v>0</v>
      </c>
      <c r="K11" s="8">
        <v>2200</v>
      </c>
      <c r="L11" s="8">
        <v>1600</v>
      </c>
      <c r="M11" s="6">
        <f t="shared" si="2"/>
        <v>1600</v>
      </c>
      <c r="N11" s="6">
        <f t="shared" si="2"/>
        <v>1600</v>
      </c>
    </row>
    <row r="12" spans="1:14" x14ac:dyDescent="0.25">
      <c r="A12" s="5" t="s">
        <v>108</v>
      </c>
      <c r="B12" s="5" t="s">
        <v>109</v>
      </c>
      <c r="C12" s="5" t="s">
        <v>110</v>
      </c>
      <c r="D12" s="5" t="s">
        <v>111</v>
      </c>
      <c r="E12" s="5" t="s">
        <v>112</v>
      </c>
      <c r="F12" s="5" t="s">
        <v>129</v>
      </c>
      <c r="G12" s="5" t="s">
        <v>130</v>
      </c>
      <c r="H12" s="5" t="str">
        <f t="shared" si="0"/>
        <v>3</v>
      </c>
      <c r="I12" s="5" t="str">
        <f t="shared" si="1"/>
        <v>32</v>
      </c>
      <c r="J12" s="8">
        <v>0</v>
      </c>
      <c r="K12" s="8">
        <v>2000</v>
      </c>
      <c r="L12" s="8">
        <v>1100</v>
      </c>
      <c r="M12" s="6">
        <f t="shared" si="2"/>
        <v>1100</v>
      </c>
      <c r="N12" s="6">
        <f t="shared" si="2"/>
        <v>1100</v>
      </c>
    </row>
    <row r="13" spans="1:14" x14ac:dyDescent="0.25">
      <c r="A13" s="5" t="s">
        <v>108</v>
      </c>
      <c r="B13" s="5" t="s">
        <v>109</v>
      </c>
      <c r="C13" s="5" t="s">
        <v>110</v>
      </c>
      <c r="D13" s="5" t="s">
        <v>111</v>
      </c>
      <c r="E13" s="5" t="s">
        <v>112</v>
      </c>
      <c r="F13" s="5" t="s">
        <v>131</v>
      </c>
      <c r="G13" s="5" t="s">
        <v>132</v>
      </c>
      <c r="H13" s="5" t="str">
        <f t="shared" si="0"/>
        <v>3</v>
      </c>
      <c r="I13" s="5" t="str">
        <f t="shared" si="1"/>
        <v>32</v>
      </c>
      <c r="J13" s="8">
        <v>0</v>
      </c>
      <c r="K13" s="8">
        <v>2500</v>
      </c>
      <c r="L13" s="8">
        <v>3000</v>
      </c>
      <c r="M13" s="6">
        <f t="shared" si="2"/>
        <v>3000</v>
      </c>
      <c r="N13" s="6">
        <f t="shared" si="2"/>
        <v>3000</v>
      </c>
    </row>
    <row r="14" spans="1:14" x14ac:dyDescent="0.25">
      <c r="A14" s="5" t="s">
        <v>108</v>
      </c>
      <c r="B14" s="5" t="s">
        <v>109</v>
      </c>
      <c r="C14" s="5" t="s">
        <v>110</v>
      </c>
      <c r="D14" s="5" t="s">
        <v>111</v>
      </c>
      <c r="E14" s="5" t="s">
        <v>112</v>
      </c>
      <c r="F14" s="5" t="s">
        <v>133</v>
      </c>
      <c r="G14" s="5" t="s">
        <v>134</v>
      </c>
      <c r="H14" s="5" t="str">
        <f t="shared" si="0"/>
        <v>3</v>
      </c>
      <c r="I14" s="5" t="str">
        <f t="shared" si="1"/>
        <v>32</v>
      </c>
      <c r="J14" s="8">
        <v>0</v>
      </c>
      <c r="K14" s="8">
        <v>1800</v>
      </c>
      <c r="L14" s="8">
        <v>1000</v>
      </c>
      <c r="M14" s="6">
        <f t="shared" si="2"/>
        <v>1000</v>
      </c>
      <c r="N14" s="6">
        <f t="shared" si="2"/>
        <v>1000</v>
      </c>
    </row>
    <row r="15" spans="1:14" x14ac:dyDescent="0.25">
      <c r="A15" s="5" t="s">
        <v>108</v>
      </c>
      <c r="B15" s="5" t="s">
        <v>109</v>
      </c>
      <c r="C15" s="5" t="s">
        <v>110</v>
      </c>
      <c r="D15" s="5" t="s">
        <v>111</v>
      </c>
      <c r="E15" s="5" t="s">
        <v>112</v>
      </c>
      <c r="F15" s="5" t="s">
        <v>135</v>
      </c>
      <c r="G15" s="5" t="s">
        <v>136</v>
      </c>
      <c r="H15" s="5" t="str">
        <f t="shared" si="0"/>
        <v>3</v>
      </c>
      <c r="I15" s="5" t="str">
        <f t="shared" si="1"/>
        <v>32</v>
      </c>
      <c r="J15" s="8">
        <v>0</v>
      </c>
      <c r="K15" s="8">
        <v>1800</v>
      </c>
      <c r="L15" s="8">
        <v>1000</v>
      </c>
      <c r="M15" s="6">
        <f t="shared" si="2"/>
        <v>1000</v>
      </c>
      <c r="N15" s="6">
        <f t="shared" si="2"/>
        <v>1000</v>
      </c>
    </row>
    <row r="16" spans="1:14" x14ac:dyDescent="0.25">
      <c r="A16" s="5" t="s">
        <v>108</v>
      </c>
      <c r="B16" s="5" t="s">
        <v>109</v>
      </c>
      <c r="C16" s="5" t="s">
        <v>110</v>
      </c>
      <c r="D16" s="5" t="s">
        <v>111</v>
      </c>
      <c r="E16" s="5" t="s">
        <v>112</v>
      </c>
      <c r="F16" s="5" t="s">
        <v>137</v>
      </c>
      <c r="G16" s="5" t="s">
        <v>138</v>
      </c>
      <c r="H16" s="5" t="str">
        <f t="shared" si="0"/>
        <v>3</v>
      </c>
      <c r="I16" s="5" t="str">
        <f t="shared" si="1"/>
        <v>32</v>
      </c>
      <c r="J16" s="8">
        <v>0</v>
      </c>
      <c r="K16" s="8">
        <v>600</v>
      </c>
      <c r="L16" s="8">
        <v>500</v>
      </c>
      <c r="M16" s="6">
        <f t="shared" si="2"/>
        <v>500</v>
      </c>
      <c r="N16" s="6">
        <f t="shared" si="2"/>
        <v>500</v>
      </c>
    </row>
    <row r="17" spans="1:14" x14ac:dyDescent="0.25">
      <c r="A17" s="5" t="s">
        <v>108</v>
      </c>
      <c r="B17" s="5" t="s">
        <v>109</v>
      </c>
      <c r="C17" s="5" t="s">
        <v>110</v>
      </c>
      <c r="D17" s="5" t="s">
        <v>111</v>
      </c>
      <c r="E17" s="5" t="s">
        <v>112</v>
      </c>
      <c r="F17" s="5" t="s">
        <v>139</v>
      </c>
      <c r="G17" s="5" t="s">
        <v>140</v>
      </c>
      <c r="H17" s="5" t="str">
        <f t="shared" si="0"/>
        <v>3</v>
      </c>
      <c r="I17" s="5" t="str">
        <f t="shared" si="1"/>
        <v>32</v>
      </c>
      <c r="J17" s="8">
        <v>0</v>
      </c>
      <c r="K17" s="8">
        <v>300</v>
      </c>
      <c r="L17" s="8">
        <v>400</v>
      </c>
      <c r="M17" s="6">
        <f t="shared" si="2"/>
        <v>400</v>
      </c>
      <c r="N17" s="6">
        <f t="shared" si="2"/>
        <v>400</v>
      </c>
    </row>
    <row r="18" spans="1:14" x14ac:dyDescent="0.25">
      <c r="A18" s="5" t="s">
        <v>108</v>
      </c>
      <c r="B18" s="5" t="s">
        <v>109</v>
      </c>
      <c r="C18" s="5" t="s">
        <v>110</v>
      </c>
      <c r="D18" s="5" t="s">
        <v>111</v>
      </c>
      <c r="E18" s="5" t="s">
        <v>112</v>
      </c>
      <c r="F18" s="5" t="s">
        <v>141</v>
      </c>
      <c r="G18" s="5" t="s">
        <v>142</v>
      </c>
      <c r="H18" s="5" t="str">
        <f t="shared" si="0"/>
        <v>3</v>
      </c>
      <c r="I18" s="5" t="str">
        <f t="shared" si="1"/>
        <v>32</v>
      </c>
      <c r="J18" s="8">
        <v>0</v>
      </c>
      <c r="K18" s="8">
        <v>2800</v>
      </c>
      <c r="L18" s="8">
        <v>3200</v>
      </c>
      <c r="M18" s="6">
        <f t="shared" si="2"/>
        <v>3200</v>
      </c>
      <c r="N18" s="6">
        <f t="shared" si="2"/>
        <v>3200</v>
      </c>
    </row>
    <row r="19" spans="1:14" x14ac:dyDescent="0.25">
      <c r="A19" s="5" t="s">
        <v>108</v>
      </c>
      <c r="B19" s="5" t="s">
        <v>109</v>
      </c>
      <c r="C19" s="5" t="s">
        <v>110</v>
      </c>
      <c r="D19" s="5" t="s">
        <v>111</v>
      </c>
      <c r="E19" s="5" t="s">
        <v>112</v>
      </c>
      <c r="F19" s="5" t="s">
        <v>143</v>
      </c>
      <c r="G19" s="5" t="s">
        <v>144</v>
      </c>
      <c r="H19" s="5" t="str">
        <f t="shared" si="0"/>
        <v>3</v>
      </c>
      <c r="I19" s="5" t="str">
        <f t="shared" si="1"/>
        <v>32</v>
      </c>
      <c r="J19" s="8">
        <v>0</v>
      </c>
      <c r="K19" s="8">
        <v>300</v>
      </c>
      <c r="L19" s="8">
        <v>400</v>
      </c>
      <c r="M19" s="6">
        <f t="shared" si="2"/>
        <v>400</v>
      </c>
      <c r="N19" s="6">
        <f t="shared" si="2"/>
        <v>400</v>
      </c>
    </row>
    <row r="20" spans="1:14" x14ac:dyDescent="0.25">
      <c r="A20" s="5" t="s">
        <v>108</v>
      </c>
      <c r="B20" s="5" t="s">
        <v>109</v>
      </c>
      <c r="C20" s="5" t="s">
        <v>110</v>
      </c>
      <c r="D20" s="5" t="s">
        <v>111</v>
      </c>
      <c r="E20" s="5" t="s">
        <v>112</v>
      </c>
      <c r="F20" s="5" t="s">
        <v>145</v>
      </c>
      <c r="G20" s="5" t="s">
        <v>146</v>
      </c>
      <c r="H20" s="5" t="str">
        <f t="shared" si="0"/>
        <v>3</v>
      </c>
      <c r="I20" s="5" t="str">
        <f t="shared" si="1"/>
        <v>32</v>
      </c>
      <c r="J20" s="8">
        <v>0</v>
      </c>
      <c r="K20" s="8">
        <v>300</v>
      </c>
      <c r="L20" s="8">
        <v>200</v>
      </c>
      <c r="M20" s="6">
        <f t="shared" si="2"/>
        <v>200</v>
      </c>
      <c r="N20" s="6">
        <f t="shared" si="2"/>
        <v>200</v>
      </c>
    </row>
    <row r="21" spans="1:14" x14ac:dyDescent="0.25">
      <c r="A21" s="5" t="s">
        <v>108</v>
      </c>
      <c r="B21" s="5" t="s">
        <v>109</v>
      </c>
      <c r="C21" s="5" t="s">
        <v>110</v>
      </c>
      <c r="D21" s="5" t="s">
        <v>111</v>
      </c>
      <c r="E21" s="5" t="s">
        <v>112</v>
      </c>
      <c r="F21" s="5" t="s">
        <v>147</v>
      </c>
      <c r="G21" s="5" t="s">
        <v>148</v>
      </c>
      <c r="H21" s="5" t="str">
        <f t="shared" si="0"/>
        <v>3</v>
      </c>
      <c r="I21" s="5" t="str">
        <f t="shared" si="1"/>
        <v>32</v>
      </c>
      <c r="J21" s="8">
        <v>0</v>
      </c>
      <c r="K21" s="8">
        <v>1800</v>
      </c>
      <c r="L21" s="8">
        <v>1200</v>
      </c>
      <c r="M21" s="6">
        <f t="shared" si="2"/>
        <v>1200</v>
      </c>
      <c r="N21" s="6">
        <f t="shared" si="2"/>
        <v>1200</v>
      </c>
    </row>
    <row r="22" spans="1:14" x14ac:dyDescent="0.25">
      <c r="A22" s="5" t="s">
        <v>108</v>
      </c>
      <c r="B22" s="5" t="s">
        <v>109</v>
      </c>
      <c r="C22" s="5" t="s">
        <v>110</v>
      </c>
      <c r="D22" s="5" t="s">
        <v>111</v>
      </c>
      <c r="E22" s="5" t="s">
        <v>112</v>
      </c>
      <c r="F22" s="5" t="s">
        <v>149</v>
      </c>
      <c r="G22" s="5" t="s">
        <v>150</v>
      </c>
      <c r="H22" s="5" t="str">
        <f t="shared" si="0"/>
        <v>3</v>
      </c>
      <c r="I22" s="5" t="str">
        <f t="shared" si="1"/>
        <v>32</v>
      </c>
      <c r="J22" s="8">
        <v>0</v>
      </c>
      <c r="K22" s="8">
        <v>1900</v>
      </c>
      <c r="L22" s="8">
        <v>1800</v>
      </c>
      <c r="M22" s="6">
        <f t="shared" si="2"/>
        <v>1800</v>
      </c>
      <c r="N22" s="6">
        <f t="shared" si="2"/>
        <v>1800</v>
      </c>
    </row>
    <row r="23" spans="1:14" x14ac:dyDescent="0.25">
      <c r="A23" s="5" t="s">
        <v>108</v>
      </c>
      <c r="B23" s="5" t="s">
        <v>109</v>
      </c>
      <c r="C23" s="5" t="s">
        <v>110</v>
      </c>
      <c r="D23" s="5" t="s">
        <v>111</v>
      </c>
      <c r="E23" s="5" t="s">
        <v>112</v>
      </c>
      <c r="F23" s="5" t="s">
        <v>151</v>
      </c>
      <c r="G23" s="5" t="s">
        <v>152</v>
      </c>
      <c r="H23" s="5" t="str">
        <f t="shared" si="0"/>
        <v>3</v>
      </c>
      <c r="I23" s="5" t="str">
        <f t="shared" si="1"/>
        <v>32</v>
      </c>
      <c r="J23" s="8">
        <v>0</v>
      </c>
      <c r="K23" s="8">
        <v>600</v>
      </c>
      <c r="L23" s="8">
        <v>600</v>
      </c>
      <c r="M23" s="6">
        <f t="shared" si="2"/>
        <v>600</v>
      </c>
      <c r="N23" s="6">
        <f t="shared" si="2"/>
        <v>600</v>
      </c>
    </row>
    <row r="24" spans="1:14" x14ac:dyDescent="0.25">
      <c r="A24" s="5" t="s">
        <v>108</v>
      </c>
      <c r="B24" s="5" t="s">
        <v>109</v>
      </c>
      <c r="C24" s="5" t="s">
        <v>110</v>
      </c>
      <c r="D24" s="5" t="s">
        <v>111</v>
      </c>
      <c r="E24" s="5" t="s">
        <v>112</v>
      </c>
      <c r="F24" s="5" t="s">
        <v>153</v>
      </c>
      <c r="G24" s="5" t="s">
        <v>154</v>
      </c>
      <c r="H24" s="5" t="str">
        <f t="shared" si="0"/>
        <v>3</v>
      </c>
      <c r="I24" s="5" t="str">
        <f t="shared" si="1"/>
        <v>32</v>
      </c>
      <c r="J24" s="8">
        <v>0</v>
      </c>
      <c r="K24" s="8">
        <v>1800</v>
      </c>
      <c r="L24" s="8">
        <v>1000</v>
      </c>
      <c r="M24" s="6">
        <f t="shared" ref="M24:N43" si="3">L24</f>
        <v>1000</v>
      </c>
      <c r="N24" s="6">
        <f t="shared" si="3"/>
        <v>1000</v>
      </c>
    </row>
    <row r="25" spans="1:14" x14ac:dyDescent="0.25">
      <c r="A25" s="5" t="s">
        <v>108</v>
      </c>
      <c r="B25" s="5" t="s">
        <v>109</v>
      </c>
      <c r="C25" s="5" t="s">
        <v>110</v>
      </c>
      <c r="D25" s="5" t="s">
        <v>111</v>
      </c>
      <c r="E25" s="5" t="s">
        <v>112</v>
      </c>
      <c r="F25" s="5" t="s">
        <v>155</v>
      </c>
      <c r="G25" s="5" t="s">
        <v>156</v>
      </c>
      <c r="H25" s="5" t="str">
        <f t="shared" si="0"/>
        <v>3</v>
      </c>
      <c r="I25" s="5" t="str">
        <f t="shared" si="1"/>
        <v>32</v>
      </c>
      <c r="J25" s="8">
        <v>0</v>
      </c>
      <c r="K25" s="8">
        <v>2600</v>
      </c>
      <c r="L25" s="8">
        <v>1500</v>
      </c>
      <c r="M25" s="6">
        <f t="shared" si="3"/>
        <v>1500</v>
      </c>
      <c r="N25" s="6">
        <f t="shared" si="3"/>
        <v>1500</v>
      </c>
    </row>
    <row r="26" spans="1:14" x14ac:dyDescent="0.25">
      <c r="A26" s="5" t="s">
        <v>108</v>
      </c>
      <c r="B26" s="5" t="s">
        <v>109</v>
      </c>
      <c r="C26" s="5" t="s">
        <v>110</v>
      </c>
      <c r="D26" s="5" t="s">
        <v>111</v>
      </c>
      <c r="E26" s="5" t="s">
        <v>112</v>
      </c>
      <c r="F26" s="5" t="s">
        <v>157</v>
      </c>
      <c r="G26" s="5" t="s">
        <v>158</v>
      </c>
      <c r="H26" s="5" t="str">
        <f t="shared" si="0"/>
        <v>3</v>
      </c>
      <c r="I26" s="5" t="str">
        <f t="shared" si="1"/>
        <v>32</v>
      </c>
      <c r="J26" s="8">
        <v>0</v>
      </c>
      <c r="K26" s="8">
        <v>3200</v>
      </c>
      <c r="L26" s="8">
        <v>7500</v>
      </c>
      <c r="M26" s="6">
        <f t="shared" si="3"/>
        <v>7500</v>
      </c>
      <c r="N26" s="6">
        <f t="shared" si="3"/>
        <v>7500</v>
      </c>
    </row>
    <row r="27" spans="1:14" x14ac:dyDescent="0.25">
      <c r="A27" s="5" t="s">
        <v>108</v>
      </c>
      <c r="B27" s="5" t="s">
        <v>109</v>
      </c>
      <c r="C27" s="5" t="s">
        <v>110</v>
      </c>
      <c r="D27" s="5" t="s">
        <v>111</v>
      </c>
      <c r="E27" s="5" t="s">
        <v>112</v>
      </c>
      <c r="F27" s="5" t="s">
        <v>159</v>
      </c>
      <c r="G27" s="5" t="s">
        <v>160</v>
      </c>
      <c r="H27" s="5" t="str">
        <f t="shared" si="0"/>
        <v>3</v>
      </c>
      <c r="I27" s="5" t="str">
        <f t="shared" si="1"/>
        <v>32</v>
      </c>
      <c r="J27" s="8">
        <v>0</v>
      </c>
      <c r="K27" s="8">
        <v>2000</v>
      </c>
      <c r="L27" s="8">
        <v>2500</v>
      </c>
      <c r="M27" s="6">
        <f t="shared" si="3"/>
        <v>2500</v>
      </c>
      <c r="N27" s="6">
        <f t="shared" si="3"/>
        <v>2500</v>
      </c>
    </row>
    <row r="28" spans="1:14" x14ac:dyDescent="0.25">
      <c r="A28" s="5" t="s">
        <v>108</v>
      </c>
      <c r="B28" s="5" t="s">
        <v>109</v>
      </c>
      <c r="C28" s="5" t="s">
        <v>110</v>
      </c>
      <c r="D28" s="5" t="s">
        <v>111</v>
      </c>
      <c r="E28" s="5" t="s">
        <v>112</v>
      </c>
      <c r="F28" s="5" t="s">
        <v>161</v>
      </c>
      <c r="G28" s="5" t="s">
        <v>162</v>
      </c>
      <c r="H28" s="5" t="str">
        <f t="shared" si="0"/>
        <v>3</v>
      </c>
      <c r="I28" s="5" t="str">
        <f t="shared" si="1"/>
        <v>32</v>
      </c>
      <c r="J28" s="8">
        <v>0</v>
      </c>
      <c r="K28" s="8">
        <v>3200</v>
      </c>
      <c r="L28" s="8">
        <v>3600</v>
      </c>
      <c r="M28" s="6">
        <f t="shared" si="3"/>
        <v>3600</v>
      </c>
      <c r="N28" s="6">
        <f t="shared" si="3"/>
        <v>3600</v>
      </c>
    </row>
    <row r="29" spans="1:14" x14ac:dyDescent="0.25">
      <c r="A29" s="5" t="s">
        <v>108</v>
      </c>
      <c r="B29" s="5" t="s">
        <v>109</v>
      </c>
      <c r="C29" s="5" t="s">
        <v>110</v>
      </c>
      <c r="D29" s="5" t="s">
        <v>111</v>
      </c>
      <c r="E29" s="5" t="s">
        <v>112</v>
      </c>
      <c r="F29" s="5" t="s">
        <v>163</v>
      </c>
      <c r="G29" s="5" t="s">
        <v>164</v>
      </c>
      <c r="H29" s="5" t="str">
        <f t="shared" si="0"/>
        <v>3</v>
      </c>
      <c r="I29" s="5" t="str">
        <f t="shared" si="1"/>
        <v>32</v>
      </c>
      <c r="J29" s="8">
        <v>0</v>
      </c>
      <c r="K29" s="8">
        <v>9000</v>
      </c>
      <c r="L29" s="8">
        <v>2000</v>
      </c>
      <c r="M29" s="6">
        <f t="shared" si="3"/>
        <v>2000</v>
      </c>
      <c r="N29" s="6">
        <f t="shared" si="3"/>
        <v>2000</v>
      </c>
    </row>
    <row r="30" spans="1:14" x14ac:dyDescent="0.25">
      <c r="A30" s="5" t="s">
        <v>108</v>
      </c>
      <c r="B30" s="5" t="s">
        <v>109</v>
      </c>
      <c r="C30" s="5" t="s">
        <v>110</v>
      </c>
      <c r="D30" s="5" t="s">
        <v>111</v>
      </c>
      <c r="E30" s="5" t="s">
        <v>112</v>
      </c>
      <c r="F30" s="5" t="s">
        <v>165</v>
      </c>
      <c r="G30" s="5" t="s">
        <v>166</v>
      </c>
      <c r="H30" s="5" t="str">
        <f t="shared" si="0"/>
        <v>3</v>
      </c>
      <c r="I30" s="5" t="str">
        <f t="shared" si="1"/>
        <v>32</v>
      </c>
      <c r="J30" s="8">
        <v>0</v>
      </c>
      <c r="K30" s="8">
        <v>1800</v>
      </c>
      <c r="L30" s="8">
        <v>1800</v>
      </c>
      <c r="M30" s="6">
        <f t="shared" si="3"/>
        <v>1800</v>
      </c>
      <c r="N30" s="6">
        <f t="shared" si="3"/>
        <v>1800</v>
      </c>
    </row>
    <row r="31" spans="1:14" x14ac:dyDescent="0.25">
      <c r="A31" s="5" t="s">
        <v>108</v>
      </c>
      <c r="B31" s="5" t="s">
        <v>109</v>
      </c>
      <c r="C31" s="5" t="s">
        <v>110</v>
      </c>
      <c r="D31" s="5" t="s">
        <v>111</v>
      </c>
      <c r="E31" s="5" t="s">
        <v>112</v>
      </c>
      <c r="F31" s="5" t="s">
        <v>167</v>
      </c>
      <c r="G31" s="5" t="s">
        <v>168</v>
      </c>
      <c r="H31" s="5" t="str">
        <f t="shared" si="0"/>
        <v>3</v>
      </c>
      <c r="I31" s="5" t="str">
        <f t="shared" si="1"/>
        <v>32</v>
      </c>
      <c r="J31" s="8">
        <v>0</v>
      </c>
      <c r="K31" s="8">
        <v>1500</v>
      </c>
      <c r="L31" s="8">
        <v>1000</v>
      </c>
      <c r="M31" s="6">
        <f t="shared" si="3"/>
        <v>1000</v>
      </c>
      <c r="N31" s="6">
        <f t="shared" si="3"/>
        <v>1000</v>
      </c>
    </row>
    <row r="32" spans="1:14" x14ac:dyDescent="0.25">
      <c r="A32" s="5" t="s">
        <v>108</v>
      </c>
      <c r="B32" s="5" t="s">
        <v>109</v>
      </c>
      <c r="C32" s="5" t="s">
        <v>110</v>
      </c>
      <c r="D32" s="5" t="s">
        <v>111</v>
      </c>
      <c r="E32" s="5" t="s">
        <v>112</v>
      </c>
      <c r="F32" s="5" t="s">
        <v>169</v>
      </c>
      <c r="G32" s="5" t="s">
        <v>170</v>
      </c>
      <c r="H32" s="5" t="str">
        <f t="shared" si="0"/>
        <v>3</v>
      </c>
      <c r="I32" s="5" t="str">
        <f t="shared" si="1"/>
        <v>32</v>
      </c>
      <c r="J32" s="8">
        <v>0</v>
      </c>
      <c r="K32" s="8">
        <v>200</v>
      </c>
      <c r="L32" s="8">
        <v>200</v>
      </c>
      <c r="M32" s="6">
        <f t="shared" si="3"/>
        <v>200</v>
      </c>
      <c r="N32" s="6">
        <f t="shared" si="3"/>
        <v>200</v>
      </c>
    </row>
    <row r="33" spans="1:14" x14ac:dyDescent="0.25">
      <c r="A33" s="5" t="s">
        <v>108</v>
      </c>
      <c r="B33" s="5" t="s">
        <v>109</v>
      </c>
      <c r="C33" s="5" t="s">
        <v>110</v>
      </c>
      <c r="D33" s="5" t="s">
        <v>111</v>
      </c>
      <c r="E33" s="5" t="s">
        <v>112</v>
      </c>
      <c r="F33" s="5" t="s">
        <v>171</v>
      </c>
      <c r="G33" s="5" t="s">
        <v>172</v>
      </c>
      <c r="H33" s="5" t="str">
        <f t="shared" si="0"/>
        <v>3</v>
      </c>
      <c r="I33" s="5" t="str">
        <f t="shared" si="1"/>
        <v>32</v>
      </c>
      <c r="J33" s="8">
        <v>0</v>
      </c>
      <c r="K33" s="8">
        <v>700</v>
      </c>
      <c r="L33" s="8">
        <v>700</v>
      </c>
      <c r="M33" s="6">
        <f t="shared" si="3"/>
        <v>700</v>
      </c>
      <c r="N33" s="6">
        <f t="shared" si="3"/>
        <v>700</v>
      </c>
    </row>
    <row r="34" spans="1:14" x14ac:dyDescent="0.25">
      <c r="A34" s="5" t="s">
        <v>108</v>
      </c>
      <c r="B34" s="5" t="s">
        <v>109</v>
      </c>
      <c r="C34" s="5" t="s">
        <v>110</v>
      </c>
      <c r="D34" s="5" t="s">
        <v>111</v>
      </c>
      <c r="E34" s="5" t="s">
        <v>112</v>
      </c>
      <c r="F34" s="5" t="s">
        <v>173</v>
      </c>
      <c r="G34" s="5" t="s">
        <v>174</v>
      </c>
      <c r="H34" s="5" t="str">
        <f t="shared" si="0"/>
        <v>3</v>
      </c>
      <c r="I34" s="5" t="str">
        <f t="shared" si="1"/>
        <v>32</v>
      </c>
      <c r="J34" s="8">
        <v>0</v>
      </c>
      <c r="K34" s="8">
        <v>300</v>
      </c>
      <c r="L34" s="8">
        <v>3000</v>
      </c>
      <c r="M34" s="6">
        <f t="shared" si="3"/>
        <v>3000</v>
      </c>
      <c r="N34" s="6">
        <f t="shared" si="3"/>
        <v>3000</v>
      </c>
    </row>
    <row r="35" spans="1:14" x14ac:dyDescent="0.25">
      <c r="A35" s="5" t="s">
        <v>108</v>
      </c>
      <c r="B35" s="5" t="s">
        <v>109</v>
      </c>
      <c r="C35" s="5" t="s">
        <v>110</v>
      </c>
      <c r="D35" s="5" t="s">
        <v>111</v>
      </c>
      <c r="E35" s="5" t="s">
        <v>112</v>
      </c>
      <c r="F35" s="5" t="s">
        <v>175</v>
      </c>
      <c r="G35" s="5" t="s">
        <v>176</v>
      </c>
      <c r="H35" s="5" t="str">
        <f t="shared" si="0"/>
        <v>3</v>
      </c>
      <c r="I35" s="5" t="str">
        <f t="shared" si="1"/>
        <v>34</v>
      </c>
      <c r="J35" s="8">
        <v>500</v>
      </c>
      <c r="K35" s="8">
        <v>0</v>
      </c>
      <c r="L35" s="8">
        <v>0</v>
      </c>
      <c r="M35" s="6">
        <f t="shared" si="3"/>
        <v>0</v>
      </c>
      <c r="N35" s="6">
        <f t="shared" si="3"/>
        <v>0</v>
      </c>
    </row>
    <row r="36" spans="1:14" x14ac:dyDescent="0.25">
      <c r="A36" s="5" t="s">
        <v>108</v>
      </c>
      <c r="B36" s="5" t="s">
        <v>109</v>
      </c>
      <c r="C36" s="5" t="s">
        <v>110</v>
      </c>
      <c r="D36" s="5" t="s">
        <v>111</v>
      </c>
      <c r="E36" s="5" t="s">
        <v>112</v>
      </c>
      <c r="F36" s="5" t="s">
        <v>177</v>
      </c>
      <c r="G36" s="5" t="s">
        <v>178</v>
      </c>
      <c r="H36" s="5" t="str">
        <f t="shared" ref="H36:H67" si="4">LEFT(F36,1)</f>
        <v>3</v>
      </c>
      <c r="I36" s="5" t="str">
        <f t="shared" ref="I36:I67" si="5">LEFT(F36,2)</f>
        <v>34</v>
      </c>
      <c r="J36" s="8">
        <v>0</v>
      </c>
      <c r="K36" s="8">
        <v>500</v>
      </c>
      <c r="L36" s="8">
        <v>500</v>
      </c>
      <c r="M36" s="6">
        <f t="shared" si="3"/>
        <v>500</v>
      </c>
      <c r="N36" s="6">
        <f t="shared" si="3"/>
        <v>500</v>
      </c>
    </row>
    <row r="37" spans="1:14" x14ac:dyDescent="0.25">
      <c r="A37" s="5" t="s">
        <v>108</v>
      </c>
      <c r="B37" s="5" t="s">
        <v>109</v>
      </c>
      <c r="C37" s="5" t="s">
        <v>110</v>
      </c>
      <c r="D37" s="5" t="s">
        <v>179</v>
      </c>
      <c r="E37" s="5" t="s">
        <v>112</v>
      </c>
      <c r="F37" s="5" t="s">
        <v>180</v>
      </c>
      <c r="G37" s="5" t="s">
        <v>181</v>
      </c>
      <c r="H37" s="5" t="str">
        <f t="shared" si="4"/>
        <v>3</v>
      </c>
      <c r="I37" s="5" t="str">
        <f t="shared" si="5"/>
        <v>32</v>
      </c>
      <c r="J37" s="8">
        <v>0</v>
      </c>
      <c r="K37" s="8">
        <v>9700</v>
      </c>
      <c r="L37" s="8">
        <v>35000</v>
      </c>
      <c r="M37" s="6">
        <f t="shared" si="3"/>
        <v>35000</v>
      </c>
      <c r="N37" s="6">
        <f t="shared" si="3"/>
        <v>35000</v>
      </c>
    </row>
    <row r="38" spans="1:14" x14ac:dyDescent="0.25">
      <c r="A38" s="5" t="s">
        <v>108</v>
      </c>
      <c r="B38" s="5" t="s">
        <v>109</v>
      </c>
      <c r="C38" s="5" t="s">
        <v>110</v>
      </c>
      <c r="D38" s="5" t="s">
        <v>179</v>
      </c>
      <c r="E38" s="5" t="s">
        <v>112</v>
      </c>
      <c r="F38" s="5" t="s">
        <v>182</v>
      </c>
      <c r="G38" s="5" t="s">
        <v>183</v>
      </c>
      <c r="H38" s="5" t="str">
        <f t="shared" si="4"/>
        <v>3</v>
      </c>
      <c r="I38" s="5" t="str">
        <f t="shared" si="5"/>
        <v>32</v>
      </c>
      <c r="J38" s="8">
        <v>0</v>
      </c>
      <c r="K38" s="8">
        <v>100</v>
      </c>
      <c r="L38" s="8">
        <v>100</v>
      </c>
      <c r="M38" s="6">
        <f t="shared" si="3"/>
        <v>100</v>
      </c>
      <c r="N38" s="6">
        <f t="shared" si="3"/>
        <v>100</v>
      </c>
    </row>
    <row r="39" spans="1:14" x14ac:dyDescent="0.25">
      <c r="A39" s="5" t="s">
        <v>108</v>
      </c>
      <c r="B39" s="5" t="s">
        <v>109</v>
      </c>
      <c r="C39" s="5" t="s">
        <v>110</v>
      </c>
      <c r="D39" s="5" t="s">
        <v>179</v>
      </c>
      <c r="E39" s="5" t="s">
        <v>112</v>
      </c>
      <c r="F39" s="5" t="s">
        <v>184</v>
      </c>
      <c r="G39" s="5" t="s">
        <v>185</v>
      </c>
      <c r="H39" s="5" t="str">
        <f t="shared" si="4"/>
        <v>3</v>
      </c>
      <c r="I39" s="5" t="str">
        <f t="shared" si="5"/>
        <v>32</v>
      </c>
      <c r="J39" s="8">
        <v>0</v>
      </c>
      <c r="K39" s="8">
        <v>2500</v>
      </c>
      <c r="L39" s="8">
        <v>4000</v>
      </c>
      <c r="M39" s="6">
        <f t="shared" si="3"/>
        <v>4000</v>
      </c>
      <c r="N39" s="6">
        <f t="shared" si="3"/>
        <v>4000</v>
      </c>
    </row>
    <row r="40" spans="1:14" x14ac:dyDescent="0.25">
      <c r="A40" s="5" t="s">
        <v>108</v>
      </c>
      <c r="B40" s="5" t="s">
        <v>109</v>
      </c>
      <c r="C40" s="5" t="s">
        <v>110</v>
      </c>
      <c r="D40" s="5" t="s">
        <v>179</v>
      </c>
      <c r="E40" s="5" t="s">
        <v>112</v>
      </c>
      <c r="F40" s="5" t="s">
        <v>186</v>
      </c>
      <c r="G40" s="5" t="s">
        <v>187</v>
      </c>
      <c r="H40" s="5" t="str">
        <f t="shared" si="4"/>
        <v>3</v>
      </c>
      <c r="I40" s="5" t="str">
        <f t="shared" si="5"/>
        <v>32</v>
      </c>
      <c r="J40" s="8">
        <v>0</v>
      </c>
      <c r="K40" s="8">
        <v>2300</v>
      </c>
      <c r="L40" s="8">
        <v>4000</v>
      </c>
      <c r="M40" s="6">
        <f t="shared" si="3"/>
        <v>4000</v>
      </c>
      <c r="N40" s="6">
        <f t="shared" si="3"/>
        <v>4000</v>
      </c>
    </row>
    <row r="41" spans="1:14" x14ac:dyDescent="0.25">
      <c r="A41" s="5" t="s">
        <v>108</v>
      </c>
      <c r="B41" s="5" t="s">
        <v>188</v>
      </c>
      <c r="C41" s="5" t="s">
        <v>189</v>
      </c>
      <c r="D41" s="5" t="s">
        <v>179</v>
      </c>
      <c r="E41" s="5" t="s">
        <v>190</v>
      </c>
      <c r="F41" s="5" t="s">
        <v>112</v>
      </c>
      <c r="G41" s="5" t="s">
        <v>191</v>
      </c>
      <c r="H41" s="5" t="str">
        <f t="shared" si="4"/>
        <v>3</v>
      </c>
      <c r="I41" s="5" t="str">
        <f t="shared" si="5"/>
        <v>31</v>
      </c>
      <c r="J41" s="8">
        <v>1165263.46</v>
      </c>
      <c r="K41" s="8">
        <v>0</v>
      </c>
      <c r="L41" s="8">
        <v>0</v>
      </c>
      <c r="M41" s="6">
        <f t="shared" si="3"/>
        <v>0</v>
      </c>
      <c r="N41" s="6">
        <f t="shared" si="3"/>
        <v>0</v>
      </c>
    </row>
    <row r="42" spans="1:14" x14ac:dyDescent="0.25">
      <c r="A42" s="5" t="s">
        <v>108</v>
      </c>
      <c r="B42" s="5" t="s">
        <v>188</v>
      </c>
      <c r="C42" s="5" t="s">
        <v>189</v>
      </c>
      <c r="D42" s="5" t="s">
        <v>179</v>
      </c>
      <c r="E42" s="5" t="s">
        <v>190</v>
      </c>
      <c r="F42" s="5" t="s">
        <v>192</v>
      </c>
      <c r="G42" s="5" t="s">
        <v>193</v>
      </c>
      <c r="H42" s="5" t="str">
        <f t="shared" si="4"/>
        <v>3</v>
      </c>
      <c r="I42" s="5" t="str">
        <f t="shared" si="5"/>
        <v>31</v>
      </c>
      <c r="J42" s="8">
        <v>0</v>
      </c>
      <c r="K42" s="8">
        <v>1020000</v>
      </c>
      <c r="L42" s="8">
        <v>1045000</v>
      </c>
      <c r="M42" s="6">
        <f t="shared" si="3"/>
        <v>1045000</v>
      </c>
      <c r="N42" s="6">
        <f t="shared" si="3"/>
        <v>1045000</v>
      </c>
    </row>
    <row r="43" spans="1:14" x14ac:dyDescent="0.25">
      <c r="A43" s="5" t="s">
        <v>108</v>
      </c>
      <c r="B43" s="5" t="s">
        <v>188</v>
      </c>
      <c r="C43" s="5" t="s">
        <v>189</v>
      </c>
      <c r="D43" s="5" t="s">
        <v>179</v>
      </c>
      <c r="E43" s="5" t="s">
        <v>190</v>
      </c>
      <c r="F43" s="5" t="s">
        <v>194</v>
      </c>
      <c r="G43" s="5" t="s">
        <v>195</v>
      </c>
      <c r="H43" s="5" t="str">
        <f t="shared" si="4"/>
        <v>3</v>
      </c>
      <c r="I43" s="5" t="str">
        <f t="shared" si="5"/>
        <v>31</v>
      </c>
      <c r="J43" s="8">
        <v>0</v>
      </c>
      <c r="K43" s="8">
        <v>14000</v>
      </c>
      <c r="L43" s="8">
        <v>12000</v>
      </c>
      <c r="M43" s="6">
        <f t="shared" si="3"/>
        <v>12000</v>
      </c>
      <c r="N43" s="6">
        <f t="shared" si="3"/>
        <v>12000</v>
      </c>
    </row>
    <row r="44" spans="1:14" x14ac:dyDescent="0.25">
      <c r="A44" s="5" t="s">
        <v>108</v>
      </c>
      <c r="B44" s="5" t="s">
        <v>188</v>
      </c>
      <c r="C44" s="5" t="s">
        <v>189</v>
      </c>
      <c r="D44" s="5" t="s">
        <v>179</v>
      </c>
      <c r="E44" s="5" t="s">
        <v>190</v>
      </c>
      <c r="F44" s="5" t="s">
        <v>196</v>
      </c>
      <c r="G44" s="5" t="s">
        <v>197</v>
      </c>
      <c r="H44" s="5" t="str">
        <f t="shared" si="4"/>
        <v>3</v>
      </c>
      <c r="I44" s="5" t="str">
        <f t="shared" si="5"/>
        <v>31</v>
      </c>
      <c r="J44" s="8">
        <v>0</v>
      </c>
      <c r="K44" s="8">
        <v>1000</v>
      </c>
      <c r="L44" s="8">
        <v>1000</v>
      </c>
      <c r="M44" s="6">
        <f t="shared" ref="M44:N63" si="6">L44</f>
        <v>1000</v>
      </c>
      <c r="N44" s="6">
        <f t="shared" si="6"/>
        <v>1000</v>
      </c>
    </row>
    <row r="45" spans="1:14" x14ac:dyDescent="0.25">
      <c r="A45" s="5" t="s">
        <v>108</v>
      </c>
      <c r="B45" s="5" t="s">
        <v>188</v>
      </c>
      <c r="C45" s="5" t="s">
        <v>189</v>
      </c>
      <c r="D45" s="5" t="s">
        <v>179</v>
      </c>
      <c r="E45" s="5" t="s">
        <v>190</v>
      </c>
      <c r="F45" s="5" t="s">
        <v>198</v>
      </c>
      <c r="G45" s="5" t="s">
        <v>199</v>
      </c>
      <c r="H45" s="5" t="str">
        <f t="shared" si="4"/>
        <v>3</v>
      </c>
      <c r="I45" s="5" t="str">
        <f t="shared" si="5"/>
        <v>31</v>
      </c>
      <c r="J45" s="8">
        <v>0</v>
      </c>
      <c r="K45" s="8">
        <v>3500</v>
      </c>
      <c r="L45" s="8">
        <v>3500</v>
      </c>
      <c r="M45" s="6">
        <f t="shared" si="6"/>
        <v>3500</v>
      </c>
      <c r="N45" s="6">
        <f t="shared" si="6"/>
        <v>3500</v>
      </c>
    </row>
    <row r="46" spans="1:14" x14ac:dyDescent="0.25">
      <c r="A46" s="5" t="s">
        <v>108</v>
      </c>
      <c r="B46" s="5" t="s">
        <v>188</v>
      </c>
      <c r="C46" s="5" t="s">
        <v>189</v>
      </c>
      <c r="D46" s="5" t="s">
        <v>179</v>
      </c>
      <c r="E46" s="5" t="s">
        <v>190</v>
      </c>
      <c r="F46" s="5" t="s">
        <v>200</v>
      </c>
      <c r="G46" s="5" t="s">
        <v>201</v>
      </c>
      <c r="H46" s="5" t="str">
        <f t="shared" si="4"/>
        <v>3</v>
      </c>
      <c r="I46" s="5" t="str">
        <f t="shared" si="5"/>
        <v>31</v>
      </c>
      <c r="J46" s="8">
        <v>0</v>
      </c>
      <c r="K46" s="8">
        <v>13000</v>
      </c>
      <c r="L46" s="8">
        <v>13000</v>
      </c>
      <c r="M46" s="6">
        <f t="shared" si="6"/>
        <v>13000</v>
      </c>
      <c r="N46" s="6">
        <f t="shared" si="6"/>
        <v>13000</v>
      </c>
    </row>
    <row r="47" spans="1:14" x14ac:dyDescent="0.25">
      <c r="A47" s="5" t="s">
        <v>108</v>
      </c>
      <c r="B47" s="5" t="s">
        <v>188</v>
      </c>
      <c r="C47" s="5" t="s">
        <v>189</v>
      </c>
      <c r="D47" s="5" t="s">
        <v>179</v>
      </c>
      <c r="E47" s="5" t="s">
        <v>190</v>
      </c>
      <c r="F47" s="5" t="s">
        <v>202</v>
      </c>
      <c r="G47" s="5" t="s">
        <v>203</v>
      </c>
      <c r="H47" s="5" t="str">
        <f t="shared" si="4"/>
        <v>3</v>
      </c>
      <c r="I47" s="5" t="str">
        <f t="shared" si="5"/>
        <v>31</v>
      </c>
      <c r="J47" s="8">
        <v>0</v>
      </c>
      <c r="K47" s="8">
        <v>3000</v>
      </c>
      <c r="L47" s="8">
        <v>3000</v>
      </c>
      <c r="M47" s="6">
        <f t="shared" si="6"/>
        <v>3000</v>
      </c>
      <c r="N47" s="6">
        <f t="shared" si="6"/>
        <v>3000</v>
      </c>
    </row>
    <row r="48" spans="1:14" x14ac:dyDescent="0.25">
      <c r="A48" s="5" t="s">
        <v>108</v>
      </c>
      <c r="B48" s="5" t="s">
        <v>188</v>
      </c>
      <c r="C48" s="5" t="s">
        <v>189</v>
      </c>
      <c r="D48" s="5" t="s">
        <v>179</v>
      </c>
      <c r="E48" s="5" t="s">
        <v>190</v>
      </c>
      <c r="F48" s="5" t="s">
        <v>204</v>
      </c>
      <c r="G48" s="5" t="s">
        <v>205</v>
      </c>
      <c r="H48" s="5" t="str">
        <f t="shared" si="4"/>
        <v>3</v>
      </c>
      <c r="I48" s="5" t="str">
        <f t="shared" si="5"/>
        <v>31</v>
      </c>
      <c r="J48" s="8">
        <v>0</v>
      </c>
      <c r="K48" s="8">
        <v>1500</v>
      </c>
      <c r="L48" s="8">
        <v>1500</v>
      </c>
      <c r="M48" s="6">
        <f t="shared" si="6"/>
        <v>1500</v>
      </c>
      <c r="N48" s="6">
        <f t="shared" si="6"/>
        <v>1500</v>
      </c>
    </row>
    <row r="49" spans="1:14" x14ac:dyDescent="0.25">
      <c r="A49" s="5" t="s">
        <v>108</v>
      </c>
      <c r="B49" s="5" t="s">
        <v>188</v>
      </c>
      <c r="C49" s="5" t="s">
        <v>189</v>
      </c>
      <c r="D49" s="5" t="s">
        <v>179</v>
      </c>
      <c r="E49" s="5" t="s">
        <v>190</v>
      </c>
      <c r="F49" s="5" t="s">
        <v>206</v>
      </c>
      <c r="G49" s="5" t="s">
        <v>207</v>
      </c>
      <c r="H49" s="5" t="str">
        <f t="shared" si="4"/>
        <v>3</v>
      </c>
      <c r="I49" s="5" t="str">
        <f t="shared" si="5"/>
        <v>31</v>
      </c>
      <c r="J49" s="8">
        <v>0</v>
      </c>
      <c r="K49" s="8">
        <v>13000</v>
      </c>
      <c r="L49" s="8">
        <v>13000</v>
      </c>
      <c r="M49" s="6">
        <f t="shared" si="6"/>
        <v>13000</v>
      </c>
      <c r="N49" s="6">
        <f t="shared" si="6"/>
        <v>13000</v>
      </c>
    </row>
    <row r="50" spans="1:14" x14ac:dyDescent="0.25">
      <c r="A50" s="5" t="s">
        <v>108</v>
      </c>
      <c r="B50" s="5" t="s">
        <v>188</v>
      </c>
      <c r="C50" s="5" t="s">
        <v>189</v>
      </c>
      <c r="D50" s="5" t="s">
        <v>179</v>
      </c>
      <c r="E50" s="5" t="s">
        <v>190</v>
      </c>
      <c r="F50" s="5" t="s">
        <v>208</v>
      </c>
      <c r="G50" s="5" t="s">
        <v>209</v>
      </c>
      <c r="H50" s="5" t="str">
        <f t="shared" si="4"/>
        <v>3</v>
      </c>
      <c r="I50" s="5" t="str">
        <f t="shared" si="5"/>
        <v>31</v>
      </c>
      <c r="J50" s="8">
        <v>0</v>
      </c>
      <c r="K50" s="8">
        <v>3000</v>
      </c>
      <c r="L50" s="8">
        <v>3000</v>
      </c>
      <c r="M50" s="6">
        <f t="shared" si="6"/>
        <v>3000</v>
      </c>
      <c r="N50" s="6">
        <f t="shared" si="6"/>
        <v>3000</v>
      </c>
    </row>
    <row r="51" spans="1:14" x14ac:dyDescent="0.25">
      <c r="A51" s="5" t="s">
        <v>108</v>
      </c>
      <c r="B51" s="5" t="s">
        <v>188</v>
      </c>
      <c r="C51" s="5" t="s">
        <v>189</v>
      </c>
      <c r="D51" s="5" t="s">
        <v>179</v>
      </c>
      <c r="E51" s="5" t="s">
        <v>190</v>
      </c>
      <c r="F51" s="5" t="s">
        <v>210</v>
      </c>
      <c r="G51" s="5" t="s">
        <v>211</v>
      </c>
      <c r="H51" s="5" t="str">
        <f t="shared" si="4"/>
        <v>3</v>
      </c>
      <c r="I51" s="5" t="str">
        <f t="shared" si="5"/>
        <v>31</v>
      </c>
      <c r="J51" s="8">
        <v>0</v>
      </c>
      <c r="K51" s="8">
        <v>162000</v>
      </c>
      <c r="L51" s="8">
        <v>162000</v>
      </c>
      <c r="M51" s="6">
        <f t="shared" si="6"/>
        <v>162000</v>
      </c>
      <c r="N51" s="6">
        <f t="shared" si="6"/>
        <v>162000</v>
      </c>
    </row>
    <row r="52" spans="1:14" x14ac:dyDescent="0.25">
      <c r="A52" s="5" t="s">
        <v>108</v>
      </c>
      <c r="B52" s="5" t="s">
        <v>188</v>
      </c>
      <c r="C52" s="5" t="s">
        <v>189</v>
      </c>
      <c r="D52" s="5" t="s">
        <v>179</v>
      </c>
      <c r="E52" s="5" t="s">
        <v>190</v>
      </c>
      <c r="F52" s="5" t="s">
        <v>113</v>
      </c>
      <c r="G52" s="5" t="s">
        <v>114</v>
      </c>
      <c r="H52" s="5" t="str">
        <f t="shared" si="4"/>
        <v>3</v>
      </c>
      <c r="I52" s="5" t="str">
        <f t="shared" si="5"/>
        <v>32</v>
      </c>
      <c r="J52" s="8">
        <v>25628.78</v>
      </c>
      <c r="K52" s="8">
        <v>0</v>
      </c>
      <c r="L52" s="8">
        <v>0</v>
      </c>
      <c r="M52" s="6">
        <f t="shared" si="6"/>
        <v>0</v>
      </c>
      <c r="N52" s="6">
        <f t="shared" si="6"/>
        <v>0</v>
      </c>
    </row>
    <row r="53" spans="1:14" x14ac:dyDescent="0.25">
      <c r="A53" s="5" t="s">
        <v>108</v>
      </c>
      <c r="B53" s="5" t="s">
        <v>188</v>
      </c>
      <c r="C53" s="5" t="s">
        <v>189</v>
      </c>
      <c r="D53" s="5" t="s">
        <v>179</v>
      </c>
      <c r="E53" s="5" t="s">
        <v>190</v>
      </c>
      <c r="F53" s="5" t="s">
        <v>212</v>
      </c>
      <c r="G53" s="5" t="s">
        <v>213</v>
      </c>
      <c r="H53" s="5" t="str">
        <f t="shared" si="4"/>
        <v>3</v>
      </c>
      <c r="I53" s="5" t="str">
        <f t="shared" si="5"/>
        <v>32</v>
      </c>
      <c r="J53" s="8">
        <v>0</v>
      </c>
      <c r="K53" s="8">
        <v>24000</v>
      </c>
      <c r="L53" s="8">
        <v>24000</v>
      </c>
      <c r="M53" s="6">
        <f t="shared" si="6"/>
        <v>24000</v>
      </c>
      <c r="N53" s="6">
        <f t="shared" si="6"/>
        <v>24000</v>
      </c>
    </row>
    <row r="54" spans="1:14" x14ac:dyDescent="0.25">
      <c r="A54" s="5" t="s">
        <v>108</v>
      </c>
      <c r="B54" s="5" t="s">
        <v>188</v>
      </c>
      <c r="C54" s="5" t="s">
        <v>189</v>
      </c>
      <c r="D54" s="5" t="s">
        <v>179</v>
      </c>
      <c r="E54" s="5" t="s">
        <v>190</v>
      </c>
      <c r="F54" s="5" t="s">
        <v>214</v>
      </c>
      <c r="G54" s="5" t="s">
        <v>215</v>
      </c>
      <c r="H54" s="5" t="str">
        <f t="shared" si="4"/>
        <v>3</v>
      </c>
      <c r="I54" s="5" t="str">
        <f t="shared" si="5"/>
        <v>32</v>
      </c>
      <c r="J54" s="8">
        <v>0</v>
      </c>
      <c r="K54" s="8">
        <v>3800</v>
      </c>
      <c r="L54" s="8">
        <v>3800</v>
      </c>
      <c r="M54" s="6">
        <f t="shared" si="6"/>
        <v>3800</v>
      </c>
      <c r="N54" s="6">
        <f t="shared" si="6"/>
        <v>3800</v>
      </c>
    </row>
    <row r="55" spans="1:14" x14ac:dyDescent="0.25">
      <c r="A55" s="5" t="s">
        <v>216</v>
      </c>
      <c r="B55" s="5" t="s">
        <v>217</v>
      </c>
      <c r="C55" s="5" t="s">
        <v>218</v>
      </c>
      <c r="D55" s="5" t="s">
        <v>219</v>
      </c>
      <c r="E55" s="5" t="s">
        <v>219</v>
      </c>
      <c r="F55" s="5" t="s">
        <v>113</v>
      </c>
      <c r="G55" s="5" t="s">
        <v>114</v>
      </c>
      <c r="H55" s="5" t="str">
        <f t="shared" si="4"/>
        <v>3</v>
      </c>
      <c r="I55" s="5" t="str">
        <f t="shared" si="5"/>
        <v>32</v>
      </c>
      <c r="J55" s="8">
        <v>52000.39</v>
      </c>
      <c r="K55" s="8">
        <v>0</v>
      </c>
      <c r="L55" s="8">
        <v>0</v>
      </c>
      <c r="M55" s="6">
        <f t="shared" si="6"/>
        <v>0</v>
      </c>
      <c r="N55" s="6">
        <f t="shared" si="6"/>
        <v>0</v>
      </c>
    </row>
    <row r="56" spans="1:14" x14ac:dyDescent="0.25">
      <c r="A56" s="5" t="s">
        <v>216</v>
      </c>
      <c r="B56" s="5" t="s">
        <v>217</v>
      </c>
      <c r="C56" s="5" t="s">
        <v>218</v>
      </c>
      <c r="D56" s="5" t="s">
        <v>219</v>
      </c>
      <c r="E56" s="5" t="s">
        <v>219</v>
      </c>
      <c r="F56" s="5" t="s">
        <v>180</v>
      </c>
      <c r="G56" s="5" t="s">
        <v>181</v>
      </c>
      <c r="H56" s="5" t="str">
        <f t="shared" si="4"/>
        <v>3</v>
      </c>
      <c r="I56" s="5" t="str">
        <f t="shared" si="5"/>
        <v>32</v>
      </c>
      <c r="J56" s="8">
        <v>0</v>
      </c>
      <c r="K56" s="8">
        <v>14000</v>
      </c>
      <c r="L56" s="8">
        <v>2000</v>
      </c>
      <c r="M56" s="6">
        <f t="shared" si="6"/>
        <v>2000</v>
      </c>
      <c r="N56" s="6">
        <f t="shared" si="6"/>
        <v>2000</v>
      </c>
    </row>
    <row r="57" spans="1:14" x14ac:dyDescent="0.25">
      <c r="A57" s="5" t="s">
        <v>216</v>
      </c>
      <c r="B57" s="5" t="s">
        <v>217</v>
      </c>
      <c r="C57" s="5" t="s">
        <v>218</v>
      </c>
      <c r="D57" s="5" t="s">
        <v>219</v>
      </c>
      <c r="E57" s="5" t="s">
        <v>219</v>
      </c>
      <c r="F57" s="5" t="s">
        <v>145</v>
      </c>
      <c r="G57" s="5" t="s">
        <v>220</v>
      </c>
      <c r="H57" s="5" t="str">
        <f t="shared" si="4"/>
        <v>3</v>
      </c>
      <c r="I57" s="5" t="str">
        <f t="shared" si="5"/>
        <v>32</v>
      </c>
      <c r="J57" s="8">
        <v>0</v>
      </c>
      <c r="K57" s="8">
        <v>1000</v>
      </c>
      <c r="L57" s="8">
        <v>0</v>
      </c>
      <c r="M57" s="6">
        <f t="shared" si="6"/>
        <v>0</v>
      </c>
      <c r="N57" s="6">
        <f t="shared" si="6"/>
        <v>0</v>
      </c>
    </row>
    <row r="58" spans="1:14" x14ac:dyDescent="0.25">
      <c r="A58" s="5" t="s">
        <v>216</v>
      </c>
      <c r="B58" s="5" t="s">
        <v>217</v>
      </c>
      <c r="C58" s="5" t="s">
        <v>218</v>
      </c>
      <c r="D58" s="5" t="s">
        <v>219</v>
      </c>
      <c r="E58" s="5" t="s">
        <v>219</v>
      </c>
      <c r="F58" s="5" t="s">
        <v>186</v>
      </c>
      <c r="G58" s="5" t="s">
        <v>187</v>
      </c>
      <c r="H58" s="5" t="str">
        <f t="shared" si="4"/>
        <v>3</v>
      </c>
      <c r="I58" s="5" t="str">
        <f t="shared" si="5"/>
        <v>32</v>
      </c>
      <c r="J58" s="8">
        <v>0</v>
      </c>
      <c r="K58" s="8">
        <v>3500</v>
      </c>
      <c r="L58" s="8">
        <v>3500</v>
      </c>
      <c r="M58" s="6">
        <f t="shared" si="6"/>
        <v>3500</v>
      </c>
      <c r="N58" s="6">
        <f t="shared" si="6"/>
        <v>3500</v>
      </c>
    </row>
    <row r="59" spans="1:14" x14ac:dyDescent="0.25">
      <c r="A59" s="5" t="s">
        <v>216</v>
      </c>
      <c r="B59" s="5" t="s">
        <v>217</v>
      </c>
      <c r="C59" s="5" t="s">
        <v>218</v>
      </c>
      <c r="D59" s="5" t="s">
        <v>219</v>
      </c>
      <c r="E59" s="5"/>
      <c r="F59" s="5" t="s">
        <v>221</v>
      </c>
      <c r="G59" s="5" t="s">
        <v>222</v>
      </c>
      <c r="H59" s="5" t="str">
        <f t="shared" si="4"/>
        <v>3</v>
      </c>
      <c r="I59" s="5" t="str">
        <f t="shared" si="5"/>
        <v>32</v>
      </c>
      <c r="J59" s="8">
        <v>0</v>
      </c>
      <c r="K59" s="8">
        <v>0</v>
      </c>
      <c r="L59" s="8">
        <v>300</v>
      </c>
      <c r="M59" s="6">
        <f t="shared" si="6"/>
        <v>300</v>
      </c>
      <c r="N59" s="6">
        <f t="shared" si="6"/>
        <v>300</v>
      </c>
    </row>
    <row r="60" spans="1:14" x14ac:dyDescent="0.25">
      <c r="A60" s="5" t="s">
        <v>216</v>
      </c>
      <c r="B60" s="5" t="s">
        <v>217</v>
      </c>
      <c r="C60" s="5" t="s">
        <v>218</v>
      </c>
      <c r="D60" s="5" t="s">
        <v>219</v>
      </c>
      <c r="E60" s="5"/>
      <c r="F60" s="5" t="s">
        <v>159</v>
      </c>
      <c r="G60" s="5" t="s">
        <v>160</v>
      </c>
      <c r="H60" s="5" t="str">
        <f t="shared" si="4"/>
        <v>3</v>
      </c>
      <c r="I60" s="5" t="str">
        <f t="shared" si="5"/>
        <v>32</v>
      </c>
      <c r="J60" s="8">
        <v>0</v>
      </c>
      <c r="K60" s="8">
        <v>0</v>
      </c>
      <c r="L60" s="8">
        <v>1500</v>
      </c>
      <c r="M60" s="6">
        <f t="shared" si="6"/>
        <v>1500</v>
      </c>
      <c r="N60" s="6">
        <f t="shared" si="6"/>
        <v>1500</v>
      </c>
    </row>
    <row r="61" spans="1:14" x14ac:dyDescent="0.25">
      <c r="A61" s="5" t="s">
        <v>216</v>
      </c>
      <c r="B61" s="5" t="s">
        <v>217</v>
      </c>
      <c r="C61" s="5" t="s">
        <v>218</v>
      </c>
      <c r="D61" s="5" t="s">
        <v>219</v>
      </c>
      <c r="E61" s="5" t="s">
        <v>219</v>
      </c>
      <c r="F61" s="5" t="s">
        <v>163</v>
      </c>
      <c r="G61" s="5" t="s">
        <v>223</v>
      </c>
      <c r="H61" s="5" t="str">
        <f t="shared" si="4"/>
        <v>3</v>
      </c>
      <c r="I61" s="5" t="str">
        <f t="shared" si="5"/>
        <v>32</v>
      </c>
      <c r="J61" s="8">
        <v>0</v>
      </c>
      <c r="K61" s="8">
        <v>12000</v>
      </c>
      <c r="L61" s="8">
        <v>0</v>
      </c>
      <c r="M61" s="6">
        <f t="shared" si="6"/>
        <v>0</v>
      </c>
      <c r="N61" s="6">
        <f t="shared" si="6"/>
        <v>0</v>
      </c>
    </row>
    <row r="62" spans="1:14" x14ac:dyDescent="0.25">
      <c r="A62" s="5" t="s">
        <v>216</v>
      </c>
      <c r="B62" s="5" t="s">
        <v>217</v>
      </c>
      <c r="C62" s="5" t="s">
        <v>218</v>
      </c>
      <c r="D62" s="5" t="s">
        <v>219</v>
      </c>
      <c r="E62" s="5"/>
      <c r="F62" s="5" t="s">
        <v>173</v>
      </c>
      <c r="G62" s="5" t="s">
        <v>174</v>
      </c>
      <c r="H62" s="5" t="str">
        <f t="shared" si="4"/>
        <v>3</v>
      </c>
      <c r="I62" s="5" t="str">
        <f t="shared" si="5"/>
        <v>32</v>
      </c>
      <c r="J62" s="8">
        <v>0</v>
      </c>
      <c r="K62" s="8">
        <v>0</v>
      </c>
      <c r="L62" s="8">
        <v>1000</v>
      </c>
      <c r="M62" s="6">
        <f t="shared" si="6"/>
        <v>1000</v>
      </c>
      <c r="N62" s="6">
        <f t="shared" si="6"/>
        <v>1000</v>
      </c>
    </row>
    <row r="63" spans="1:14" x14ac:dyDescent="0.25">
      <c r="A63" s="5" t="s">
        <v>216</v>
      </c>
      <c r="B63" s="5" t="s">
        <v>217</v>
      </c>
      <c r="C63" s="5" t="s">
        <v>218</v>
      </c>
      <c r="D63" s="5" t="s">
        <v>219</v>
      </c>
      <c r="E63" s="5" t="s">
        <v>219</v>
      </c>
      <c r="F63" s="5" t="s">
        <v>224</v>
      </c>
      <c r="G63" s="5" t="s">
        <v>225</v>
      </c>
      <c r="H63" s="5" t="str">
        <f t="shared" si="4"/>
        <v>3</v>
      </c>
      <c r="I63" s="5" t="str">
        <f t="shared" si="5"/>
        <v>37</v>
      </c>
      <c r="J63" s="8">
        <v>18898.599999999999</v>
      </c>
      <c r="K63" s="8">
        <v>0</v>
      </c>
      <c r="L63" s="8">
        <v>0</v>
      </c>
      <c r="M63" s="6">
        <f t="shared" si="6"/>
        <v>0</v>
      </c>
      <c r="N63" s="6">
        <f t="shared" si="6"/>
        <v>0</v>
      </c>
    </row>
    <row r="64" spans="1:14" x14ac:dyDescent="0.25">
      <c r="A64" s="5" t="s">
        <v>216</v>
      </c>
      <c r="B64" s="5" t="s">
        <v>217</v>
      </c>
      <c r="C64" s="5" t="s">
        <v>218</v>
      </c>
      <c r="D64" s="5" t="s">
        <v>226</v>
      </c>
      <c r="E64" s="5"/>
      <c r="F64" s="5" t="s">
        <v>123</v>
      </c>
      <c r="G64" s="5" t="s">
        <v>227</v>
      </c>
      <c r="H64" s="5" t="str">
        <f t="shared" si="4"/>
        <v>3</v>
      </c>
      <c r="I64" s="5" t="str">
        <f t="shared" si="5"/>
        <v>32</v>
      </c>
      <c r="J64" s="8">
        <v>0</v>
      </c>
      <c r="K64" s="8">
        <v>0</v>
      </c>
      <c r="L64" s="8">
        <v>1000</v>
      </c>
      <c r="M64" s="6">
        <f t="shared" ref="M64:N83" si="7">L64</f>
        <v>1000</v>
      </c>
      <c r="N64" s="6">
        <f t="shared" si="7"/>
        <v>1000</v>
      </c>
    </row>
    <row r="65" spans="1:14" x14ac:dyDescent="0.25">
      <c r="A65" s="5" t="s">
        <v>216</v>
      </c>
      <c r="B65" s="5" t="s">
        <v>217</v>
      </c>
      <c r="C65" s="5" t="s">
        <v>218</v>
      </c>
      <c r="D65" s="5" t="s">
        <v>226</v>
      </c>
      <c r="E65" s="5" t="s">
        <v>228</v>
      </c>
      <c r="F65" s="5" t="s">
        <v>131</v>
      </c>
      <c r="G65" s="5" t="s">
        <v>132</v>
      </c>
      <c r="H65" s="5" t="str">
        <f t="shared" si="4"/>
        <v>3</v>
      </c>
      <c r="I65" s="5" t="str">
        <f t="shared" si="5"/>
        <v>32</v>
      </c>
      <c r="J65" s="8">
        <v>0</v>
      </c>
      <c r="K65" s="8">
        <v>10</v>
      </c>
      <c r="L65" s="8">
        <v>4010</v>
      </c>
      <c r="M65" s="6">
        <f t="shared" si="7"/>
        <v>4010</v>
      </c>
      <c r="N65" s="6">
        <f t="shared" si="7"/>
        <v>4010</v>
      </c>
    </row>
    <row r="66" spans="1:14" x14ac:dyDescent="0.25">
      <c r="A66" s="5" t="s">
        <v>216</v>
      </c>
      <c r="B66" s="5" t="s">
        <v>217</v>
      </c>
      <c r="C66" s="5" t="s">
        <v>218</v>
      </c>
      <c r="D66" s="5" t="s">
        <v>226</v>
      </c>
      <c r="E66" s="5" t="s">
        <v>228</v>
      </c>
      <c r="F66" s="5" t="s">
        <v>229</v>
      </c>
      <c r="G66" s="5" t="s">
        <v>230</v>
      </c>
      <c r="H66" s="5" t="str">
        <f t="shared" si="4"/>
        <v>4</v>
      </c>
      <c r="I66" s="5" t="str">
        <f t="shared" si="5"/>
        <v>42</v>
      </c>
      <c r="J66" s="8">
        <v>1.23</v>
      </c>
      <c r="K66" s="8">
        <v>0</v>
      </c>
      <c r="L66" s="8">
        <v>0</v>
      </c>
      <c r="M66" s="6">
        <f t="shared" si="7"/>
        <v>0</v>
      </c>
      <c r="N66" s="6">
        <f t="shared" si="7"/>
        <v>0</v>
      </c>
    </row>
    <row r="67" spans="1:14" x14ac:dyDescent="0.25">
      <c r="A67" s="5" t="s">
        <v>216</v>
      </c>
      <c r="B67" s="5" t="s">
        <v>217</v>
      </c>
      <c r="C67" s="5" t="s">
        <v>218</v>
      </c>
      <c r="D67" s="5" t="s">
        <v>226</v>
      </c>
      <c r="E67" s="5"/>
      <c r="F67" s="5" t="s">
        <v>231</v>
      </c>
      <c r="G67" s="5" t="s">
        <v>232</v>
      </c>
      <c r="H67" s="5" t="str">
        <f t="shared" si="4"/>
        <v>4</v>
      </c>
      <c r="I67" s="5" t="str">
        <f t="shared" si="5"/>
        <v>42</v>
      </c>
      <c r="J67" s="8">
        <v>0</v>
      </c>
      <c r="K67" s="8">
        <v>0</v>
      </c>
      <c r="L67" s="8">
        <v>5000</v>
      </c>
      <c r="M67" s="6">
        <f t="shared" si="7"/>
        <v>5000</v>
      </c>
      <c r="N67" s="6">
        <f t="shared" si="7"/>
        <v>5000</v>
      </c>
    </row>
    <row r="68" spans="1:14" x14ac:dyDescent="0.25">
      <c r="A68" s="5" t="s">
        <v>216</v>
      </c>
      <c r="B68" s="5" t="s">
        <v>217</v>
      </c>
      <c r="C68" s="5" t="s">
        <v>218</v>
      </c>
      <c r="D68" s="5" t="s">
        <v>226</v>
      </c>
      <c r="E68" s="5"/>
      <c r="F68" s="5" t="s">
        <v>233</v>
      </c>
      <c r="G68" s="5" t="s">
        <v>234</v>
      </c>
      <c r="H68" s="5" t="str">
        <f t="shared" ref="H68:H99" si="8">LEFT(F68,1)</f>
        <v>4</v>
      </c>
      <c r="I68" s="5" t="str">
        <f t="shared" ref="I68:I99" si="9">LEFT(F68,2)</f>
        <v>42</v>
      </c>
      <c r="J68" s="8">
        <v>0</v>
      </c>
      <c r="K68" s="8">
        <v>0</v>
      </c>
      <c r="L68" s="8">
        <v>10000</v>
      </c>
      <c r="M68" s="6">
        <f t="shared" si="7"/>
        <v>10000</v>
      </c>
      <c r="N68" s="6">
        <f t="shared" si="7"/>
        <v>10000</v>
      </c>
    </row>
    <row r="69" spans="1:14" x14ac:dyDescent="0.25">
      <c r="A69" s="5" t="s">
        <v>216</v>
      </c>
      <c r="B69" s="5" t="s">
        <v>217</v>
      </c>
      <c r="C69" s="5" t="s">
        <v>218</v>
      </c>
      <c r="D69" s="5" t="s">
        <v>226</v>
      </c>
      <c r="E69" s="5" t="s">
        <v>228</v>
      </c>
      <c r="F69" s="5" t="s">
        <v>235</v>
      </c>
      <c r="G69" s="5" t="s">
        <v>236</v>
      </c>
      <c r="H69" s="5" t="str">
        <f t="shared" si="8"/>
        <v>4</v>
      </c>
      <c r="I69" s="5" t="str">
        <f t="shared" si="9"/>
        <v>42</v>
      </c>
      <c r="J69" s="8">
        <v>0</v>
      </c>
      <c r="K69" s="8">
        <v>90</v>
      </c>
      <c r="L69" s="8">
        <v>90</v>
      </c>
      <c r="M69" s="6">
        <f t="shared" si="7"/>
        <v>90</v>
      </c>
      <c r="N69" s="6">
        <f t="shared" si="7"/>
        <v>90</v>
      </c>
    </row>
    <row r="70" spans="1:14" x14ac:dyDescent="0.25">
      <c r="A70" s="5" t="s">
        <v>216</v>
      </c>
      <c r="B70" s="5" t="s">
        <v>217</v>
      </c>
      <c r="C70" s="5" t="s">
        <v>218</v>
      </c>
      <c r="D70" s="5" t="s">
        <v>237</v>
      </c>
      <c r="E70" s="5" t="s">
        <v>237</v>
      </c>
      <c r="F70" s="5" t="s">
        <v>113</v>
      </c>
      <c r="G70" s="5" t="s">
        <v>114</v>
      </c>
      <c r="H70" s="5" t="str">
        <f t="shared" si="8"/>
        <v>3</v>
      </c>
      <c r="I70" s="5" t="str">
        <f t="shared" si="9"/>
        <v>32</v>
      </c>
      <c r="J70" s="8">
        <v>2959.66</v>
      </c>
      <c r="K70" s="8">
        <v>0</v>
      </c>
      <c r="L70" s="8">
        <v>0</v>
      </c>
      <c r="M70" s="6">
        <f t="shared" si="7"/>
        <v>0</v>
      </c>
      <c r="N70" s="6">
        <f t="shared" si="7"/>
        <v>0</v>
      </c>
    </row>
    <row r="71" spans="1:14" x14ac:dyDescent="0.25">
      <c r="A71" s="5" t="s">
        <v>216</v>
      </c>
      <c r="B71" s="5" t="s">
        <v>217</v>
      </c>
      <c r="C71" s="5" t="s">
        <v>218</v>
      </c>
      <c r="D71" s="5" t="s">
        <v>237</v>
      </c>
      <c r="E71" s="5" t="s">
        <v>237</v>
      </c>
      <c r="F71" s="5" t="s">
        <v>131</v>
      </c>
      <c r="G71" s="5" t="s">
        <v>132</v>
      </c>
      <c r="H71" s="5" t="str">
        <f t="shared" si="8"/>
        <v>3</v>
      </c>
      <c r="I71" s="5" t="str">
        <f t="shared" si="9"/>
        <v>32</v>
      </c>
      <c r="J71" s="8">
        <v>0</v>
      </c>
      <c r="K71" s="8">
        <v>2500</v>
      </c>
      <c r="L71" s="8">
        <v>2500</v>
      </c>
      <c r="M71" s="6">
        <f t="shared" si="7"/>
        <v>2500</v>
      </c>
      <c r="N71" s="6">
        <f t="shared" si="7"/>
        <v>2500</v>
      </c>
    </row>
    <row r="72" spans="1:14" x14ac:dyDescent="0.25">
      <c r="A72" s="5" t="s">
        <v>216</v>
      </c>
      <c r="B72" s="5" t="s">
        <v>217</v>
      </c>
      <c r="C72" s="5" t="s">
        <v>218</v>
      </c>
      <c r="D72" s="5" t="s">
        <v>237</v>
      </c>
      <c r="E72" s="5" t="s">
        <v>237</v>
      </c>
      <c r="F72" s="5" t="s">
        <v>238</v>
      </c>
      <c r="G72" s="5" t="s">
        <v>239</v>
      </c>
      <c r="H72" s="5" t="str">
        <f t="shared" si="8"/>
        <v>3</v>
      </c>
      <c r="I72" s="5" t="str">
        <f t="shared" si="9"/>
        <v>38</v>
      </c>
      <c r="J72" s="8">
        <v>746.99</v>
      </c>
      <c r="K72" s="8">
        <v>0</v>
      </c>
      <c r="L72" s="8">
        <v>0</v>
      </c>
      <c r="M72" s="6">
        <f t="shared" si="7"/>
        <v>0</v>
      </c>
      <c r="N72" s="6">
        <f t="shared" si="7"/>
        <v>0</v>
      </c>
    </row>
    <row r="73" spans="1:14" x14ac:dyDescent="0.25">
      <c r="A73" s="5" t="s">
        <v>216</v>
      </c>
      <c r="B73" s="5" t="s">
        <v>217</v>
      </c>
      <c r="C73" s="5" t="s">
        <v>218</v>
      </c>
      <c r="D73" s="5" t="s">
        <v>237</v>
      </c>
      <c r="E73" s="5" t="s">
        <v>237</v>
      </c>
      <c r="F73" s="5" t="s">
        <v>240</v>
      </c>
      <c r="G73" s="5" t="s">
        <v>241</v>
      </c>
      <c r="H73" s="5" t="str">
        <f t="shared" si="8"/>
        <v>3</v>
      </c>
      <c r="I73" s="5" t="str">
        <f t="shared" si="9"/>
        <v>38</v>
      </c>
      <c r="J73" s="8">
        <v>0</v>
      </c>
      <c r="K73" s="8">
        <v>730</v>
      </c>
      <c r="L73" s="8">
        <v>730</v>
      </c>
      <c r="M73" s="6">
        <f t="shared" si="7"/>
        <v>730</v>
      </c>
      <c r="N73" s="6">
        <f t="shared" si="7"/>
        <v>730</v>
      </c>
    </row>
    <row r="74" spans="1:14" x14ac:dyDescent="0.25">
      <c r="A74" s="5" t="s">
        <v>216</v>
      </c>
      <c r="B74" s="5" t="s">
        <v>217</v>
      </c>
      <c r="C74" s="5" t="s">
        <v>218</v>
      </c>
      <c r="D74" s="5" t="s">
        <v>237</v>
      </c>
      <c r="E74" s="5" t="s">
        <v>237</v>
      </c>
      <c r="F74" s="5" t="s">
        <v>229</v>
      </c>
      <c r="G74" s="5" t="s">
        <v>230</v>
      </c>
      <c r="H74" s="5" t="str">
        <f t="shared" si="8"/>
        <v>4</v>
      </c>
      <c r="I74" s="5" t="str">
        <f t="shared" si="9"/>
        <v>42</v>
      </c>
      <c r="J74" s="8">
        <v>570</v>
      </c>
      <c r="K74" s="8">
        <v>0</v>
      </c>
      <c r="L74" s="8">
        <v>0</v>
      </c>
      <c r="M74" s="6">
        <f t="shared" si="7"/>
        <v>0</v>
      </c>
      <c r="N74" s="6">
        <f t="shared" si="7"/>
        <v>0</v>
      </c>
    </row>
    <row r="75" spans="1:14" x14ac:dyDescent="0.25">
      <c r="A75" s="5" t="s">
        <v>216</v>
      </c>
      <c r="B75" s="5" t="s">
        <v>217</v>
      </c>
      <c r="C75" s="5" t="s">
        <v>218</v>
      </c>
      <c r="D75" s="5" t="s">
        <v>237</v>
      </c>
      <c r="E75" s="5" t="s">
        <v>237</v>
      </c>
      <c r="F75" s="5" t="s">
        <v>242</v>
      </c>
      <c r="G75" s="5" t="s">
        <v>243</v>
      </c>
      <c r="H75" s="5" t="str">
        <f t="shared" si="8"/>
        <v>4</v>
      </c>
      <c r="I75" s="5" t="str">
        <f t="shared" si="9"/>
        <v>42</v>
      </c>
      <c r="J75" s="8">
        <v>0</v>
      </c>
      <c r="K75" s="8">
        <v>2000</v>
      </c>
      <c r="L75" s="8">
        <v>2000</v>
      </c>
      <c r="M75" s="6">
        <f t="shared" si="7"/>
        <v>2000</v>
      </c>
      <c r="N75" s="6">
        <f t="shared" si="7"/>
        <v>2000</v>
      </c>
    </row>
    <row r="76" spans="1:14" x14ac:dyDescent="0.25">
      <c r="A76" s="5" t="s">
        <v>216</v>
      </c>
      <c r="B76" s="5" t="s">
        <v>217</v>
      </c>
      <c r="C76" s="5" t="s">
        <v>218</v>
      </c>
      <c r="D76" s="5" t="s">
        <v>237</v>
      </c>
      <c r="E76" s="5" t="s">
        <v>237</v>
      </c>
      <c r="F76" s="5" t="s">
        <v>235</v>
      </c>
      <c r="G76" s="5" t="s">
        <v>236</v>
      </c>
      <c r="H76" s="5" t="str">
        <f t="shared" si="8"/>
        <v>4</v>
      </c>
      <c r="I76" s="5" t="str">
        <f t="shared" si="9"/>
        <v>42</v>
      </c>
      <c r="J76" s="8">
        <v>0</v>
      </c>
      <c r="K76" s="8">
        <v>700</v>
      </c>
      <c r="L76" s="8">
        <v>700</v>
      </c>
      <c r="M76" s="6">
        <f t="shared" si="7"/>
        <v>700</v>
      </c>
      <c r="N76" s="6">
        <f t="shared" si="7"/>
        <v>700</v>
      </c>
    </row>
    <row r="77" spans="1:14" x14ac:dyDescent="0.25">
      <c r="A77" s="5" t="s">
        <v>216</v>
      </c>
      <c r="B77" s="5" t="s">
        <v>217</v>
      </c>
      <c r="C77" s="5" t="s">
        <v>218</v>
      </c>
      <c r="D77" s="5" t="s">
        <v>244</v>
      </c>
      <c r="E77" s="5" t="s">
        <v>244</v>
      </c>
      <c r="F77" s="5" t="s">
        <v>113</v>
      </c>
      <c r="G77" s="5" t="s">
        <v>114</v>
      </c>
      <c r="H77" s="5" t="str">
        <f t="shared" si="8"/>
        <v>3</v>
      </c>
      <c r="I77" s="5" t="str">
        <f t="shared" si="9"/>
        <v>32</v>
      </c>
      <c r="J77" s="8">
        <v>3087.31</v>
      </c>
      <c r="K77" s="8">
        <v>0</v>
      </c>
      <c r="L77" s="8">
        <v>0</v>
      </c>
      <c r="M77" s="6">
        <f t="shared" si="7"/>
        <v>0</v>
      </c>
      <c r="N77" s="6">
        <f t="shared" si="7"/>
        <v>0</v>
      </c>
    </row>
    <row r="78" spans="1:14" x14ac:dyDescent="0.25">
      <c r="A78" s="5" t="s">
        <v>216</v>
      </c>
      <c r="B78" s="5" t="s">
        <v>217</v>
      </c>
      <c r="C78" s="5" t="s">
        <v>218</v>
      </c>
      <c r="D78" s="5" t="s">
        <v>244</v>
      </c>
      <c r="E78" s="5" t="s">
        <v>244</v>
      </c>
      <c r="F78" s="5" t="s">
        <v>229</v>
      </c>
      <c r="G78" s="5" t="s">
        <v>230</v>
      </c>
      <c r="H78" s="5" t="str">
        <f t="shared" si="8"/>
        <v>4</v>
      </c>
      <c r="I78" s="5" t="str">
        <f t="shared" si="9"/>
        <v>42</v>
      </c>
      <c r="J78" s="8">
        <v>54</v>
      </c>
      <c r="K78" s="8">
        <v>0</v>
      </c>
      <c r="L78" s="8">
        <v>0</v>
      </c>
      <c r="M78" s="6">
        <f t="shared" si="7"/>
        <v>0</v>
      </c>
      <c r="N78" s="6">
        <f t="shared" si="7"/>
        <v>0</v>
      </c>
    </row>
    <row r="79" spans="1:14" x14ac:dyDescent="0.25">
      <c r="A79" s="5" t="s">
        <v>216</v>
      </c>
      <c r="B79" s="5" t="s">
        <v>245</v>
      </c>
      <c r="C79" s="5" t="s">
        <v>246</v>
      </c>
      <c r="D79" s="5" t="s">
        <v>219</v>
      </c>
      <c r="E79" s="5" t="s">
        <v>219</v>
      </c>
      <c r="F79" s="5" t="s">
        <v>112</v>
      </c>
      <c r="G79" s="5" t="s">
        <v>191</v>
      </c>
      <c r="H79" s="5" t="str">
        <f t="shared" si="8"/>
        <v>3</v>
      </c>
      <c r="I79" s="5" t="str">
        <f t="shared" si="9"/>
        <v>31</v>
      </c>
      <c r="J79" s="8">
        <v>83408.31</v>
      </c>
      <c r="K79" s="8">
        <v>0</v>
      </c>
      <c r="L79" s="8">
        <v>0</v>
      </c>
      <c r="M79" s="6">
        <f t="shared" si="7"/>
        <v>0</v>
      </c>
      <c r="N79" s="6">
        <f t="shared" si="7"/>
        <v>0</v>
      </c>
    </row>
    <row r="80" spans="1:14" x14ac:dyDescent="0.25">
      <c r="A80" s="5" t="s">
        <v>216</v>
      </c>
      <c r="B80" s="5" t="s">
        <v>245</v>
      </c>
      <c r="C80" s="5" t="s">
        <v>246</v>
      </c>
      <c r="D80" s="5" t="s">
        <v>219</v>
      </c>
      <c r="E80" s="5" t="s">
        <v>219</v>
      </c>
      <c r="F80" s="5" t="s">
        <v>192</v>
      </c>
      <c r="G80" s="5" t="s">
        <v>193</v>
      </c>
      <c r="H80" s="5" t="str">
        <f t="shared" si="8"/>
        <v>3</v>
      </c>
      <c r="I80" s="5" t="str">
        <f t="shared" si="9"/>
        <v>31</v>
      </c>
      <c r="J80" s="8">
        <v>0</v>
      </c>
      <c r="K80" s="8">
        <v>72000</v>
      </c>
      <c r="L80" s="8">
        <v>52000</v>
      </c>
      <c r="M80" s="6">
        <f t="shared" si="7"/>
        <v>52000</v>
      </c>
      <c r="N80" s="6">
        <f t="shared" si="7"/>
        <v>52000</v>
      </c>
    </row>
    <row r="81" spans="1:14" x14ac:dyDescent="0.25">
      <c r="A81" s="5" t="s">
        <v>216</v>
      </c>
      <c r="B81" s="5" t="s">
        <v>245</v>
      </c>
      <c r="C81" s="5" t="s">
        <v>246</v>
      </c>
      <c r="D81" s="5" t="s">
        <v>219</v>
      </c>
      <c r="E81" s="5" t="s">
        <v>219</v>
      </c>
      <c r="F81" s="5" t="s">
        <v>198</v>
      </c>
      <c r="G81" s="5" t="s">
        <v>247</v>
      </c>
      <c r="H81" s="5" t="str">
        <f t="shared" si="8"/>
        <v>3</v>
      </c>
      <c r="I81" s="5" t="str">
        <f t="shared" si="9"/>
        <v>31</v>
      </c>
      <c r="J81" s="8">
        <v>0</v>
      </c>
      <c r="K81" s="8">
        <v>300</v>
      </c>
      <c r="L81" s="8">
        <v>200</v>
      </c>
      <c r="M81" s="6">
        <f t="shared" si="7"/>
        <v>200</v>
      </c>
      <c r="N81" s="6">
        <f t="shared" si="7"/>
        <v>200</v>
      </c>
    </row>
    <row r="82" spans="1:14" x14ac:dyDescent="0.25">
      <c r="A82" s="5" t="s">
        <v>216</v>
      </c>
      <c r="B82" s="5" t="s">
        <v>245</v>
      </c>
      <c r="C82" s="5" t="s">
        <v>246</v>
      </c>
      <c r="D82" s="5" t="s">
        <v>219</v>
      </c>
      <c r="E82" s="5" t="s">
        <v>219</v>
      </c>
      <c r="F82" s="5" t="s">
        <v>200</v>
      </c>
      <c r="G82" s="5" t="s">
        <v>201</v>
      </c>
      <c r="H82" s="5" t="str">
        <f t="shared" si="8"/>
        <v>3</v>
      </c>
      <c r="I82" s="5" t="str">
        <f t="shared" si="9"/>
        <v>31</v>
      </c>
      <c r="J82" s="8">
        <v>0</v>
      </c>
      <c r="K82" s="8">
        <v>900</v>
      </c>
      <c r="L82" s="8">
        <v>600</v>
      </c>
      <c r="M82" s="6">
        <f t="shared" si="7"/>
        <v>600</v>
      </c>
      <c r="N82" s="6">
        <f t="shared" si="7"/>
        <v>600</v>
      </c>
    </row>
    <row r="83" spans="1:14" x14ac:dyDescent="0.25">
      <c r="A83" s="5" t="s">
        <v>216</v>
      </c>
      <c r="B83" s="5" t="s">
        <v>245</v>
      </c>
      <c r="C83" s="5" t="s">
        <v>246</v>
      </c>
      <c r="D83" s="5" t="s">
        <v>219</v>
      </c>
      <c r="E83" s="5" t="s">
        <v>219</v>
      </c>
      <c r="F83" s="5" t="s">
        <v>206</v>
      </c>
      <c r="G83" s="5" t="s">
        <v>207</v>
      </c>
      <c r="H83" s="5" t="str">
        <f t="shared" si="8"/>
        <v>3</v>
      </c>
      <c r="I83" s="5" t="str">
        <f t="shared" si="9"/>
        <v>31</v>
      </c>
      <c r="J83" s="8">
        <v>0</v>
      </c>
      <c r="K83" s="8">
        <v>900</v>
      </c>
      <c r="L83" s="8">
        <v>600</v>
      </c>
      <c r="M83" s="6">
        <f t="shared" si="7"/>
        <v>600</v>
      </c>
      <c r="N83" s="6">
        <f t="shared" si="7"/>
        <v>600</v>
      </c>
    </row>
    <row r="84" spans="1:14" x14ac:dyDescent="0.25">
      <c r="A84" s="5" t="s">
        <v>216</v>
      </c>
      <c r="B84" s="5" t="s">
        <v>245</v>
      </c>
      <c r="C84" s="5" t="s">
        <v>246</v>
      </c>
      <c r="D84" s="5" t="s">
        <v>219</v>
      </c>
      <c r="E84" s="5" t="s">
        <v>219</v>
      </c>
      <c r="F84" s="5" t="s">
        <v>210</v>
      </c>
      <c r="G84" s="5" t="s">
        <v>211</v>
      </c>
      <c r="H84" s="5" t="str">
        <f t="shared" si="8"/>
        <v>3</v>
      </c>
      <c r="I84" s="5" t="str">
        <f t="shared" si="9"/>
        <v>31</v>
      </c>
      <c r="J84" s="8">
        <v>0</v>
      </c>
      <c r="K84" s="8">
        <v>12500</v>
      </c>
      <c r="L84" s="8">
        <v>8400</v>
      </c>
      <c r="M84" s="6">
        <f t="shared" ref="M84:N103" si="10">L84</f>
        <v>8400</v>
      </c>
      <c r="N84" s="6">
        <f t="shared" si="10"/>
        <v>8400</v>
      </c>
    </row>
    <row r="85" spans="1:14" x14ac:dyDescent="0.25">
      <c r="A85" s="5" t="s">
        <v>216</v>
      </c>
      <c r="B85" s="5" t="s">
        <v>245</v>
      </c>
      <c r="C85" s="5" t="s">
        <v>246</v>
      </c>
      <c r="D85" s="5" t="s">
        <v>219</v>
      </c>
      <c r="E85" s="5" t="s">
        <v>219</v>
      </c>
      <c r="F85" s="5" t="s">
        <v>113</v>
      </c>
      <c r="G85" s="5" t="s">
        <v>114</v>
      </c>
      <c r="H85" s="5" t="str">
        <f t="shared" si="8"/>
        <v>3</v>
      </c>
      <c r="I85" s="5" t="str">
        <f t="shared" si="9"/>
        <v>32</v>
      </c>
      <c r="J85" s="8">
        <v>1126.75</v>
      </c>
      <c r="K85" s="8">
        <v>0</v>
      </c>
      <c r="L85" s="8">
        <v>0</v>
      </c>
      <c r="M85" s="6">
        <f t="shared" si="10"/>
        <v>0</v>
      </c>
      <c r="N85" s="6">
        <f t="shared" si="10"/>
        <v>0</v>
      </c>
    </row>
    <row r="86" spans="1:14" x14ac:dyDescent="0.25">
      <c r="A86" s="5" t="s">
        <v>216</v>
      </c>
      <c r="B86" s="5" t="s">
        <v>245</v>
      </c>
      <c r="C86" s="5" t="s">
        <v>246</v>
      </c>
      <c r="D86" s="5" t="s">
        <v>219</v>
      </c>
      <c r="E86" s="5" t="s">
        <v>219</v>
      </c>
      <c r="F86" s="5" t="s">
        <v>115</v>
      </c>
      <c r="G86" s="5" t="s">
        <v>116</v>
      </c>
      <c r="H86" s="5" t="str">
        <f t="shared" si="8"/>
        <v>3</v>
      </c>
      <c r="I86" s="5" t="str">
        <f t="shared" si="9"/>
        <v>32</v>
      </c>
      <c r="J86" s="8">
        <v>0</v>
      </c>
      <c r="K86" s="8">
        <v>200</v>
      </c>
      <c r="L86" s="8">
        <v>200</v>
      </c>
      <c r="M86" s="6">
        <f t="shared" si="10"/>
        <v>200</v>
      </c>
      <c r="N86" s="6">
        <f t="shared" si="10"/>
        <v>200</v>
      </c>
    </row>
    <row r="87" spans="1:14" x14ac:dyDescent="0.25">
      <c r="A87" s="5" t="s">
        <v>216</v>
      </c>
      <c r="B87" s="5" t="s">
        <v>245</v>
      </c>
      <c r="C87" s="5" t="s">
        <v>246</v>
      </c>
      <c r="D87" s="5" t="s">
        <v>219</v>
      </c>
      <c r="E87" s="5" t="s">
        <v>219</v>
      </c>
      <c r="F87" s="5" t="s">
        <v>212</v>
      </c>
      <c r="G87" s="5" t="s">
        <v>213</v>
      </c>
      <c r="H87" s="5" t="str">
        <f t="shared" si="8"/>
        <v>3</v>
      </c>
      <c r="I87" s="5" t="str">
        <f t="shared" si="9"/>
        <v>32</v>
      </c>
      <c r="J87" s="8">
        <v>0</v>
      </c>
      <c r="K87" s="8">
        <v>1200</v>
      </c>
      <c r="L87" s="8">
        <v>600</v>
      </c>
      <c r="M87" s="6">
        <f t="shared" si="10"/>
        <v>600</v>
      </c>
      <c r="N87" s="6">
        <f t="shared" si="10"/>
        <v>600</v>
      </c>
    </row>
    <row r="88" spans="1:14" x14ac:dyDescent="0.25">
      <c r="A88" s="5" t="s">
        <v>216</v>
      </c>
      <c r="B88" s="5" t="s">
        <v>245</v>
      </c>
      <c r="C88" s="5" t="s">
        <v>246</v>
      </c>
      <c r="D88" s="5" t="s">
        <v>219</v>
      </c>
      <c r="E88" s="5" t="s">
        <v>219</v>
      </c>
      <c r="F88" s="5" t="s">
        <v>155</v>
      </c>
      <c r="G88" s="5" t="s">
        <v>156</v>
      </c>
      <c r="H88" s="5" t="str">
        <f t="shared" si="8"/>
        <v>3</v>
      </c>
      <c r="I88" s="5" t="str">
        <f t="shared" si="9"/>
        <v>32</v>
      </c>
      <c r="J88" s="8">
        <v>0</v>
      </c>
      <c r="K88" s="8">
        <v>700</v>
      </c>
      <c r="L88" s="8">
        <v>0</v>
      </c>
      <c r="M88" s="6">
        <f t="shared" si="10"/>
        <v>0</v>
      </c>
      <c r="N88" s="6">
        <f t="shared" si="10"/>
        <v>0</v>
      </c>
    </row>
    <row r="89" spans="1:14" x14ac:dyDescent="0.25">
      <c r="A89" s="5" t="s">
        <v>216</v>
      </c>
      <c r="B89" s="5" t="s">
        <v>245</v>
      </c>
      <c r="C89" s="5" t="s">
        <v>246</v>
      </c>
      <c r="D89" s="5" t="s">
        <v>219</v>
      </c>
      <c r="E89" s="5" t="s">
        <v>219</v>
      </c>
      <c r="F89" s="5" t="s">
        <v>224</v>
      </c>
      <c r="G89" s="5" t="s">
        <v>225</v>
      </c>
      <c r="H89" s="5" t="str">
        <f t="shared" si="8"/>
        <v>3</v>
      </c>
      <c r="I89" s="5" t="str">
        <f t="shared" si="9"/>
        <v>37</v>
      </c>
      <c r="J89" s="8">
        <v>30661.25</v>
      </c>
      <c r="K89" s="8">
        <v>0</v>
      </c>
      <c r="L89" s="8">
        <v>0</v>
      </c>
      <c r="M89" s="6">
        <f t="shared" si="10"/>
        <v>0</v>
      </c>
      <c r="N89" s="6">
        <f t="shared" si="10"/>
        <v>0</v>
      </c>
    </row>
    <row r="90" spans="1:14" x14ac:dyDescent="0.25">
      <c r="A90" s="5" t="s">
        <v>216</v>
      </c>
      <c r="B90" s="5" t="s">
        <v>245</v>
      </c>
      <c r="C90" s="5" t="s">
        <v>246</v>
      </c>
      <c r="D90" s="5" t="s">
        <v>219</v>
      </c>
      <c r="E90" s="5" t="s">
        <v>219</v>
      </c>
      <c r="F90" s="5" t="s">
        <v>248</v>
      </c>
      <c r="G90" s="5" t="s">
        <v>249</v>
      </c>
      <c r="H90" s="5" t="str">
        <f t="shared" si="8"/>
        <v>3</v>
      </c>
      <c r="I90" s="5" t="str">
        <f t="shared" si="9"/>
        <v>37</v>
      </c>
      <c r="J90" s="8">
        <v>0</v>
      </c>
      <c r="K90" s="8">
        <v>35000</v>
      </c>
      <c r="L90" s="8">
        <v>35000</v>
      </c>
      <c r="M90" s="6">
        <f t="shared" si="10"/>
        <v>35000</v>
      </c>
      <c r="N90" s="6">
        <f t="shared" si="10"/>
        <v>35000</v>
      </c>
    </row>
    <row r="91" spans="1:14" x14ac:dyDescent="0.25">
      <c r="A91" s="5" t="s">
        <v>216</v>
      </c>
      <c r="B91" s="5" t="s">
        <v>245</v>
      </c>
      <c r="C91" s="5" t="s">
        <v>246</v>
      </c>
      <c r="D91" s="5" t="s">
        <v>250</v>
      </c>
      <c r="E91" s="5" t="s">
        <v>237</v>
      </c>
      <c r="F91" s="5" t="s">
        <v>224</v>
      </c>
      <c r="G91" s="5" t="s">
        <v>225</v>
      </c>
      <c r="H91" s="5" t="str">
        <f t="shared" si="8"/>
        <v>3</v>
      </c>
      <c r="I91" s="5" t="str">
        <f t="shared" si="9"/>
        <v>37</v>
      </c>
      <c r="J91" s="8">
        <v>24644.1</v>
      </c>
      <c r="K91" s="8">
        <v>0</v>
      </c>
      <c r="L91" s="8">
        <v>0</v>
      </c>
      <c r="M91" s="6">
        <f t="shared" si="10"/>
        <v>0</v>
      </c>
      <c r="N91" s="6">
        <f t="shared" si="10"/>
        <v>0</v>
      </c>
    </row>
    <row r="92" spans="1:14" x14ac:dyDescent="0.25">
      <c r="A92" s="5" t="s">
        <v>216</v>
      </c>
      <c r="B92" s="5" t="s">
        <v>245</v>
      </c>
      <c r="C92" s="5" t="s">
        <v>246</v>
      </c>
      <c r="D92" s="5" t="s">
        <v>250</v>
      </c>
      <c r="E92" s="5" t="s">
        <v>237</v>
      </c>
      <c r="F92" s="5" t="s">
        <v>248</v>
      </c>
      <c r="G92" s="5" t="s">
        <v>249</v>
      </c>
      <c r="H92" s="5" t="str">
        <f t="shared" si="8"/>
        <v>3</v>
      </c>
      <c r="I92" s="5" t="str">
        <f t="shared" si="9"/>
        <v>37</v>
      </c>
      <c r="J92" s="8">
        <v>0</v>
      </c>
      <c r="K92" s="8">
        <v>20000</v>
      </c>
      <c r="L92" s="8">
        <v>33000</v>
      </c>
      <c r="M92" s="6">
        <f t="shared" si="10"/>
        <v>33000</v>
      </c>
      <c r="N92" s="6">
        <f t="shared" si="10"/>
        <v>33000</v>
      </c>
    </row>
    <row r="93" spans="1:14" x14ac:dyDescent="0.25">
      <c r="A93" s="5" t="s">
        <v>216</v>
      </c>
      <c r="B93" s="5" t="s">
        <v>251</v>
      </c>
      <c r="C93" s="5" t="s">
        <v>252</v>
      </c>
      <c r="D93" s="5" t="s">
        <v>219</v>
      </c>
      <c r="E93" s="5" t="s">
        <v>219</v>
      </c>
      <c r="F93" s="5" t="s">
        <v>113</v>
      </c>
      <c r="G93" s="5" t="s">
        <v>114</v>
      </c>
      <c r="H93" s="5" t="str">
        <f t="shared" si="8"/>
        <v>3</v>
      </c>
      <c r="I93" s="5" t="str">
        <f t="shared" si="9"/>
        <v>32</v>
      </c>
      <c r="J93" s="8">
        <v>4160</v>
      </c>
      <c r="K93" s="8">
        <v>0</v>
      </c>
      <c r="L93" s="8">
        <v>0</v>
      </c>
      <c r="M93" s="6">
        <f t="shared" si="10"/>
        <v>0</v>
      </c>
      <c r="N93" s="6">
        <f t="shared" si="10"/>
        <v>0</v>
      </c>
    </row>
    <row r="94" spans="1:14" x14ac:dyDescent="0.25">
      <c r="A94" s="5" t="s">
        <v>216</v>
      </c>
      <c r="B94" s="5" t="s">
        <v>251</v>
      </c>
      <c r="C94" s="5" t="s">
        <v>252</v>
      </c>
      <c r="D94" s="5" t="s">
        <v>219</v>
      </c>
      <c r="E94" s="5" t="s">
        <v>219</v>
      </c>
      <c r="F94" s="5" t="s">
        <v>184</v>
      </c>
      <c r="G94" s="5" t="s">
        <v>185</v>
      </c>
      <c r="H94" s="5" t="str">
        <f t="shared" si="8"/>
        <v>3</v>
      </c>
      <c r="I94" s="5" t="str">
        <f t="shared" si="9"/>
        <v>32</v>
      </c>
      <c r="J94" s="8">
        <v>0</v>
      </c>
      <c r="K94" s="8">
        <v>94000</v>
      </c>
      <c r="L94" s="8">
        <v>95000</v>
      </c>
      <c r="M94" s="6">
        <f t="shared" si="10"/>
        <v>95000</v>
      </c>
      <c r="N94" s="6">
        <f t="shared" si="10"/>
        <v>95000</v>
      </c>
    </row>
    <row r="95" spans="1:14" x14ac:dyDescent="0.25">
      <c r="A95" s="5" t="s">
        <v>216</v>
      </c>
      <c r="B95" s="5" t="s">
        <v>251</v>
      </c>
      <c r="C95" s="5" t="s">
        <v>252</v>
      </c>
      <c r="D95" s="5" t="s">
        <v>253</v>
      </c>
      <c r="E95" s="5" t="s">
        <v>253</v>
      </c>
      <c r="F95" s="5" t="s">
        <v>113</v>
      </c>
      <c r="G95" s="5" t="s">
        <v>114</v>
      </c>
      <c r="H95" s="5" t="str">
        <f t="shared" si="8"/>
        <v>3</v>
      </c>
      <c r="I95" s="5" t="str">
        <f t="shared" si="9"/>
        <v>32</v>
      </c>
      <c r="J95" s="8">
        <v>39640</v>
      </c>
      <c r="K95" s="8">
        <v>0</v>
      </c>
      <c r="L95" s="8">
        <v>0</v>
      </c>
      <c r="M95" s="6">
        <f t="shared" si="10"/>
        <v>0</v>
      </c>
      <c r="N95" s="6">
        <f t="shared" si="10"/>
        <v>0</v>
      </c>
    </row>
    <row r="96" spans="1:14" x14ac:dyDescent="0.25">
      <c r="A96" s="5" t="s">
        <v>216</v>
      </c>
      <c r="B96" s="5" t="s">
        <v>254</v>
      </c>
      <c r="C96" s="5" t="s">
        <v>255</v>
      </c>
      <c r="D96" s="5" t="s">
        <v>219</v>
      </c>
      <c r="E96" s="5" t="s">
        <v>219</v>
      </c>
      <c r="F96" s="5" t="s">
        <v>112</v>
      </c>
      <c r="G96" s="5" t="s">
        <v>191</v>
      </c>
      <c r="H96" s="5" t="str">
        <f t="shared" si="8"/>
        <v>3</v>
      </c>
      <c r="I96" s="5" t="str">
        <f t="shared" si="9"/>
        <v>31</v>
      </c>
      <c r="J96" s="8">
        <v>29624.639999999999</v>
      </c>
      <c r="K96" s="8">
        <v>0</v>
      </c>
      <c r="L96" s="8">
        <v>0</v>
      </c>
      <c r="M96" s="6">
        <f t="shared" si="10"/>
        <v>0</v>
      </c>
      <c r="N96" s="6">
        <f t="shared" si="10"/>
        <v>0</v>
      </c>
    </row>
    <row r="97" spans="1:14" x14ac:dyDescent="0.25">
      <c r="A97" s="5" t="s">
        <v>216</v>
      </c>
      <c r="B97" s="5" t="s">
        <v>254</v>
      </c>
      <c r="C97" s="5" t="s">
        <v>255</v>
      </c>
      <c r="D97" s="5" t="s">
        <v>219</v>
      </c>
      <c r="E97" s="5" t="s">
        <v>219</v>
      </c>
      <c r="F97" s="5" t="s">
        <v>192</v>
      </c>
      <c r="G97" s="5" t="s">
        <v>193</v>
      </c>
      <c r="H97" s="5" t="str">
        <f t="shared" si="8"/>
        <v>3</v>
      </c>
      <c r="I97" s="5" t="str">
        <f t="shared" si="9"/>
        <v>31</v>
      </c>
      <c r="J97" s="8">
        <v>0</v>
      </c>
      <c r="K97" s="8">
        <v>26200</v>
      </c>
      <c r="L97" s="8">
        <v>26200</v>
      </c>
      <c r="M97" s="6">
        <f t="shared" si="10"/>
        <v>26200</v>
      </c>
      <c r="N97" s="6">
        <f t="shared" si="10"/>
        <v>26200</v>
      </c>
    </row>
    <row r="98" spans="1:14" x14ac:dyDescent="0.25">
      <c r="A98" s="5" t="s">
        <v>216</v>
      </c>
      <c r="B98" s="5" t="s">
        <v>254</v>
      </c>
      <c r="C98" s="5" t="s">
        <v>255</v>
      </c>
      <c r="D98" s="5" t="s">
        <v>219</v>
      </c>
      <c r="E98" s="5" t="s">
        <v>219</v>
      </c>
      <c r="F98" s="5" t="s">
        <v>198</v>
      </c>
      <c r="G98" s="5" t="s">
        <v>247</v>
      </c>
      <c r="H98" s="5" t="str">
        <f t="shared" si="8"/>
        <v>3</v>
      </c>
      <c r="I98" s="5" t="str">
        <f t="shared" si="9"/>
        <v>31</v>
      </c>
      <c r="J98" s="8">
        <v>0</v>
      </c>
      <c r="K98" s="8">
        <v>100</v>
      </c>
      <c r="L98" s="8">
        <v>100</v>
      </c>
      <c r="M98" s="6">
        <f t="shared" si="10"/>
        <v>100</v>
      </c>
      <c r="N98" s="6">
        <f t="shared" si="10"/>
        <v>100</v>
      </c>
    </row>
    <row r="99" spans="1:14" x14ac:dyDescent="0.25">
      <c r="A99" s="5" t="s">
        <v>216</v>
      </c>
      <c r="B99" s="5" t="s">
        <v>254</v>
      </c>
      <c r="C99" s="5" t="s">
        <v>255</v>
      </c>
      <c r="D99" s="5" t="s">
        <v>219</v>
      </c>
      <c r="E99" s="5" t="s">
        <v>219</v>
      </c>
      <c r="F99" s="5" t="s">
        <v>200</v>
      </c>
      <c r="G99" s="5" t="s">
        <v>201</v>
      </c>
      <c r="H99" s="5" t="str">
        <f t="shared" si="8"/>
        <v>3</v>
      </c>
      <c r="I99" s="5" t="str">
        <f t="shared" si="9"/>
        <v>31</v>
      </c>
      <c r="J99" s="8">
        <v>0</v>
      </c>
      <c r="K99" s="8">
        <v>500</v>
      </c>
      <c r="L99" s="8">
        <v>500</v>
      </c>
      <c r="M99" s="6">
        <f t="shared" si="10"/>
        <v>500</v>
      </c>
      <c r="N99" s="6">
        <f t="shared" si="10"/>
        <v>500</v>
      </c>
    </row>
    <row r="100" spans="1:14" x14ac:dyDescent="0.25">
      <c r="A100" s="5" t="s">
        <v>216</v>
      </c>
      <c r="B100" s="5" t="s">
        <v>254</v>
      </c>
      <c r="C100" s="5" t="s">
        <v>255</v>
      </c>
      <c r="D100" s="5" t="s">
        <v>219</v>
      </c>
      <c r="E100" s="5" t="s">
        <v>219</v>
      </c>
      <c r="F100" s="5" t="s">
        <v>206</v>
      </c>
      <c r="G100" s="5" t="s">
        <v>207</v>
      </c>
      <c r="H100" s="5" t="str">
        <f t="shared" ref="H100:H131" si="11">LEFT(F100,1)</f>
        <v>3</v>
      </c>
      <c r="I100" s="5" t="str">
        <f t="shared" ref="I100:I131" si="12">LEFT(F100,2)</f>
        <v>31</v>
      </c>
      <c r="J100" s="8">
        <v>0</v>
      </c>
      <c r="K100" s="8">
        <v>300</v>
      </c>
      <c r="L100" s="8">
        <v>300</v>
      </c>
      <c r="M100" s="6">
        <f t="shared" si="10"/>
        <v>300</v>
      </c>
      <c r="N100" s="6">
        <f t="shared" si="10"/>
        <v>300</v>
      </c>
    </row>
    <row r="101" spans="1:14" x14ac:dyDescent="0.25">
      <c r="A101" s="5" t="s">
        <v>216</v>
      </c>
      <c r="B101" s="5" t="s">
        <v>254</v>
      </c>
      <c r="C101" s="5" t="s">
        <v>255</v>
      </c>
      <c r="D101" s="5" t="s">
        <v>219</v>
      </c>
      <c r="E101" s="5" t="s">
        <v>219</v>
      </c>
      <c r="F101" s="5" t="s">
        <v>210</v>
      </c>
      <c r="G101" s="5" t="s">
        <v>211</v>
      </c>
      <c r="H101" s="5" t="str">
        <f t="shared" si="11"/>
        <v>3</v>
      </c>
      <c r="I101" s="5" t="str">
        <f t="shared" si="12"/>
        <v>31</v>
      </c>
      <c r="J101" s="8">
        <v>0</v>
      </c>
      <c r="K101" s="8">
        <v>4500</v>
      </c>
      <c r="L101" s="8">
        <v>4500</v>
      </c>
      <c r="M101" s="6">
        <f t="shared" si="10"/>
        <v>4500</v>
      </c>
      <c r="N101" s="6">
        <f t="shared" si="10"/>
        <v>4500</v>
      </c>
    </row>
    <row r="102" spans="1:14" x14ac:dyDescent="0.25">
      <c r="A102" s="5" t="s">
        <v>216</v>
      </c>
      <c r="B102" s="5" t="s">
        <v>254</v>
      </c>
      <c r="C102" s="5" t="s">
        <v>255</v>
      </c>
      <c r="D102" s="5" t="s">
        <v>219</v>
      </c>
      <c r="E102" s="5" t="s">
        <v>219</v>
      </c>
      <c r="F102" s="5" t="s">
        <v>113</v>
      </c>
      <c r="G102" s="5" t="s">
        <v>114</v>
      </c>
      <c r="H102" s="5" t="str">
        <f t="shared" si="11"/>
        <v>3</v>
      </c>
      <c r="I102" s="5" t="str">
        <f t="shared" si="12"/>
        <v>32</v>
      </c>
      <c r="J102" s="8">
        <v>1652.64</v>
      </c>
      <c r="K102" s="8">
        <v>0</v>
      </c>
      <c r="L102" s="8">
        <v>0</v>
      </c>
      <c r="M102" s="6">
        <f t="shared" si="10"/>
        <v>0</v>
      </c>
      <c r="N102" s="6">
        <f t="shared" si="10"/>
        <v>0</v>
      </c>
    </row>
    <row r="103" spans="1:14" x14ac:dyDescent="0.25">
      <c r="A103" s="5" t="s">
        <v>216</v>
      </c>
      <c r="B103" s="5" t="s">
        <v>254</v>
      </c>
      <c r="C103" s="5" t="s">
        <v>255</v>
      </c>
      <c r="D103" s="5" t="s">
        <v>219</v>
      </c>
      <c r="E103" s="5" t="s">
        <v>219</v>
      </c>
      <c r="F103" s="5" t="s">
        <v>115</v>
      </c>
      <c r="G103" s="5" t="s">
        <v>116</v>
      </c>
      <c r="H103" s="5" t="str">
        <f t="shared" si="11"/>
        <v>3</v>
      </c>
      <c r="I103" s="5" t="str">
        <f t="shared" si="12"/>
        <v>32</v>
      </c>
      <c r="J103" s="8">
        <v>0</v>
      </c>
      <c r="K103" s="8">
        <v>200</v>
      </c>
      <c r="L103" s="8">
        <v>200</v>
      </c>
      <c r="M103" s="6">
        <f t="shared" si="10"/>
        <v>200</v>
      </c>
      <c r="N103" s="6">
        <f t="shared" si="10"/>
        <v>200</v>
      </c>
    </row>
    <row r="104" spans="1:14" x14ac:dyDescent="0.25">
      <c r="A104" s="5" t="s">
        <v>216</v>
      </c>
      <c r="B104" s="5" t="s">
        <v>254</v>
      </c>
      <c r="C104" s="5" t="s">
        <v>255</v>
      </c>
      <c r="D104" s="5" t="s">
        <v>219</v>
      </c>
      <c r="E104" s="5" t="s">
        <v>219</v>
      </c>
      <c r="F104" s="5" t="s">
        <v>212</v>
      </c>
      <c r="G104" s="5" t="s">
        <v>213</v>
      </c>
      <c r="H104" s="5" t="str">
        <f t="shared" si="11"/>
        <v>3</v>
      </c>
      <c r="I104" s="5" t="str">
        <f t="shared" si="12"/>
        <v>32</v>
      </c>
      <c r="J104" s="8">
        <v>0</v>
      </c>
      <c r="K104" s="8">
        <v>1500</v>
      </c>
      <c r="L104" s="8">
        <v>1500</v>
      </c>
      <c r="M104" s="6">
        <f t="shared" ref="M104:N123" si="13">L104</f>
        <v>1500</v>
      </c>
      <c r="N104" s="6">
        <f t="shared" si="13"/>
        <v>1500</v>
      </c>
    </row>
    <row r="105" spans="1:14" x14ac:dyDescent="0.25">
      <c r="A105" s="5" t="s">
        <v>216</v>
      </c>
      <c r="B105" s="5" t="s">
        <v>254</v>
      </c>
      <c r="C105" s="5" t="s">
        <v>255</v>
      </c>
      <c r="D105" s="5" t="s">
        <v>219</v>
      </c>
      <c r="E105" s="5" t="s">
        <v>219</v>
      </c>
      <c r="F105" s="5" t="s">
        <v>155</v>
      </c>
      <c r="G105" s="5" t="s">
        <v>156</v>
      </c>
      <c r="H105" s="5" t="str">
        <f t="shared" si="11"/>
        <v>3</v>
      </c>
      <c r="I105" s="5" t="str">
        <f t="shared" si="12"/>
        <v>32</v>
      </c>
      <c r="J105" s="8">
        <v>0</v>
      </c>
      <c r="K105" s="8">
        <v>250</v>
      </c>
      <c r="L105" s="8">
        <v>0</v>
      </c>
      <c r="M105" s="6">
        <f t="shared" si="13"/>
        <v>0</v>
      </c>
      <c r="N105" s="6">
        <f t="shared" si="13"/>
        <v>0</v>
      </c>
    </row>
    <row r="106" spans="1:14" x14ac:dyDescent="0.25">
      <c r="A106" s="5" t="s">
        <v>216</v>
      </c>
      <c r="B106" s="5" t="s">
        <v>256</v>
      </c>
      <c r="C106" s="5" t="s">
        <v>257</v>
      </c>
      <c r="D106" s="5" t="s">
        <v>219</v>
      </c>
      <c r="E106" s="5" t="s">
        <v>219</v>
      </c>
      <c r="F106" s="5" t="s">
        <v>112</v>
      </c>
      <c r="G106" s="5" t="s">
        <v>191</v>
      </c>
      <c r="H106" s="5" t="str">
        <f t="shared" si="11"/>
        <v>3</v>
      </c>
      <c r="I106" s="5" t="str">
        <f t="shared" si="12"/>
        <v>31</v>
      </c>
      <c r="J106" s="8">
        <v>27276.05</v>
      </c>
      <c r="K106" s="8">
        <v>0</v>
      </c>
      <c r="L106" s="8">
        <v>0</v>
      </c>
      <c r="M106" s="6">
        <f t="shared" si="13"/>
        <v>0</v>
      </c>
      <c r="N106" s="6">
        <f t="shared" si="13"/>
        <v>0</v>
      </c>
    </row>
    <row r="107" spans="1:14" x14ac:dyDescent="0.25">
      <c r="A107" s="5" t="s">
        <v>216</v>
      </c>
      <c r="B107" s="5" t="s">
        <v>256</v>
      </c>
      <c r="C107" s="5" t="s">
        <v>257</v>
      </c>
      <c r="D107" s="5" t="s">
        <v>219</v>
      </c>
      <c r="E107" s="5" t="s">
        <v>219</v>
      </c>
      <c r="F107" s="5" t="s">
        <v>192</v>
      </c>
      <c r="G107" s="5" t="s">
        <v>193</v>
      </c>
      <c r="H107" s="5" t="str">
        <f t="shared" si="11"/>
        <v>3</v>
      </c>
      <c r="I107" s="5" t="str">
        <f t="shared" si="12"/>
        <v>31</v>
      </c>
      <c r="J107" s="8">
        <v>0</v>
      </c>
      <c r="K107" s="8">
        <v>34500</v>
      </c>
      <c r="L107" s="8">
        <v>23000</v>
      </c>
      <c r="M107" s="6">
        <f t="shared" si="13"/>
        <v>23000</v>
      </c>
      <c r="N107" s="6">
        <f t="shared" si="13"/>
        <v>23000</v>
      </c>
    </row>
    <row r="108" spans="1:14" x14ac:dyDescent="0.25">
      <c r="A108" s="5" t="s">
        <v>216</v>
      </c>
      <c r="B108" s="5" t="s">
        <v>256</v>
      </c>
      <c r="C108" s="5" t="s">
        <v>257</v>
      </c>
      <c r="D108" s="5" t="s">
        <v>219</v>
      </c>
      <c r="E108" s="5" t="s">
        <v>219</v>
      </c>
      <c r="F108" s="5" t="s">
        <v>198</v>
      </c>
      <c r="G108" s="5" t="s">
        <v>247</v>
      </c>
      <c r="H108" s="5" t="str">
        <f t="shared" si="11"/>
        <v>3</v>
      </c>
      <c r="I108" s="5" t="str">
        <f t="shared" si="12"/>
        <v>31</v>
      </c>
      <c r="J108" s="8">
        <v>0</v>
      </c>
      <c r="K108" s="8">
        <v>500</v>
      </c>
      <c r="L108" s="8">
        <v>400</v>
      </c>
      <c r="M108" s="6">
        <f t="shared" si="13"/>
        <v>400</v>
      </c>
      <c r="N108" s="6">
        <f t="shared" si="13"/>
        <v>400</v>
      </c>
    </row>
    <row r="109" spans="1:14" x14ac:dyDescent="0.25">
      <c r="A109" s="5" t="s">
        <v>216</v>
      </c>
      <c r="B109" s="5" t="s">
        <v>256</v>
      </c>
      <c r="C109" s="5" t="s">
        <v>257</v>
      </c>
      <c r="D109" s="5" t="s">
        <v>219</v>
      </c>
      <c r="E109" s="5" t="s">
        <v>219</v>
      </c>
      <c r="F109" s="5" t="s">
        <v>200</v>
      </c>
      <c r="G109" s="5" t="s">
        <v>258</v>
      </c>
      <c r="H109" s="5" t="str">
        <f t="shared" si="11"/>
        <v>3</v>
      </c>
      <c r="I109" s="5" t="str">
        <f t="shared" si="12"/>
        <v>31</v>
      </c>
      <c r="J109" s="8">
        <v>0</v>
      </c>
      <c r="K109" s="8">
        <v>2000</v>
      </c>
      <c r="L109" s="8">
        <v>1600</v>
      </c>
      <c r="M109" s="6">
        <f t="shared" si="13"/>
        <v>1600</v>
      </c>
      <c r="N109" s="6">
        <f t="shared" si="13"/>
        <v>1600</v>
      </c>
    </row>
    <row r="110" spans="1:14" x14ac:dyDescent="0.25">
      <c r="A110" s="5" t="s">
        <v>216</v>
      </c>
      <c r="B110" s="5" t="s">
        <v>256</v>
      </c>
      <c r="C110" s="5" t="s">
        <v>257</v>
      </c>
      <c r="D110" s="5" t="s">
        <v>219</v>
      </c>
      <c r="E110" s="5" t="s">
        <v>219</v>
      </c>
      <c r="F110" s="5" t="s">
        <v>206</v>
      </c>
      <c r="G110" s="5" t="s">
        <v>207</v>
      </c>
      <c r="H110" s="5" t="str">
        <f t="shared" si="11"/>
        <v>3</v>
      </c>
      <c r="I110" s="5" t="str">
        <f t="shared" si="12"/>
        <v>31</v>
      </c>
      <c r="J110" s="8">
        <v>0</v>
      </c>
      <c r="K110" s="8">
        <v>1500</v>
      </c>
      <c r="L110" s="8">
        <v>1200</v>
      </c>
      <c r="M110" s="6">
        <f t="shared" si="13"/>
        <v>1200</v>
      </c>
      <c r="N110" s="6">
        <f t="shared" si="13"/>
        <v>1200</v>
      </c>
    </row>
    <row r="111" spans="1:14" x14ac:dyDescent="0.25">
      <c r="A111" s="5" t="s">
        <v>216</v>
      </c>
      <c r="B111" s="5" t="s">
        <v>256</v>
      </c>
      <c r="C111" s="5" t="s">
        <v>257</v>
      </c>
      <c r="D111" s="5" t="s">
        <v>219</v>
      </c>
      <c r="E111" s="5" t="s">
        <v>219</v>
      </c>
      <c r="F111" s="5" t="s">
        <v>210</v>
      </c>
      <c r="G111" s="5" t="s">
        <v>211</v>
      </c>
      <c r="H111" s="5" t="str">
        <f t="shared" si="11"/>
        <v>3</v>
      </c>
      <c r="I111" s="5" t="str">
        <f t="shared" si="12"/>
        <v>31</v>
      </c>
      <c r="J111" s="8">
        <v>0</v>
      </c>
      <c r="K111" s="8">
        <v>5800</v>
      </c>
      <c r="L111" s="8">
        <v>4000</v>
      </c>
      <c r="M111" s="6">
        <f t="shared" si="13"/>
        <v>4000</v>
      </c>
      <c r="N111" s="6">
        <f t="shared" si="13"/>
        <v>4000</v>
      </c>
    </row>
    <row r="112" spans="1:14" x14ac:dyDescent="0.25">
      <c r="A112" s="5" t="s">
        <v>216</v>
      </c>
      <c r="B112" s="5" t="s">
        <v>256</v>
      </c>
      <c r="C112" s="5" t="s">
        <v>257</v>
      </c>
      <c r="D112" s="5" t="s">
        <v>219</v>
      </c>
      <c r="E112" s="5" t="s">
        <v>219</v>
      </c>
      <c r="F112" s="5" t="s">
        <v>113</v>
      </c>
      <c r="G112" s="5" t="s">
        <v>114</v>
      </c>
      <c r="H112" s="5" t="str">
        <f t="shared" si="11"/>
        <v>3</v>
      </c>
      <c r="I112" s="5" t="str">
        <f t="shared" si="12"/>
        <v>32</v>
      </c>
      <c r="J112" s="8">
        <v>688.28</v>
      </c>
      <c r="K112" s="8">
        <v>0</v>
      </c>
      <c r="L112" s="8">
        <v>0</v>
      </c>
      <c r="M112" s="6">
        <f t="shared" si="13"/>
        <v>0</v>
      </c>
      <c r="N112" s="6">
        <f t="shared" si="13"/>
        <v>0</v>
      </c>
    </row>
    <row r="113" spans="1:14" x14ac:dyDescent="0.25">
      <c r="A113" s="5" t="s">
        <v>216</v>
      </c>
      <c r="B113" s="5" t="s">
        <v>256</v>
      </c>
      <c r="C113" s="5" t="s">
        <v>257</v>
      </c>
      <c r="D113" s="5" t="s">
        <v>219</v>
      </c>
      <c r="E113" s="5"/>
      <c r="F113" s="5" t="s">
        <v>115</v>
      </c>
      <c r="G113" s="5" t="s">
        <v>116</v>
      </c>
      <c r="H113" s="5" t="str">
        <f t="shared" si="11"/>
        <v>3</v>
      </c>
      <c r="I113" s="5" t="str">
        <f t="shared" si="12"/>
        <v>32</v>
      </c>
      <c r="J113" s="8">
        <v>0</v>
      </c>
      <c r="K113" s="8">
        <v>0</v>
      </c>
      <c r="L113" s="8">
        <v>200</v>
      </c>
      <c r="M113" s="6">
        <f t="shared" si="13"/>
        <v>200</v>
      </c>
      <c r="N113" s="6">
        <f t="shared" si="13"/>
        <v>200</v>
      </c>
    </row>
    <row r="114" spans="1:14" x14ac:dyDescent="0.25">
      <c r="A114" s="5" t="s">
        <v>216</v>
      </c>
      <c r="B114" s="5" t="s">
        <v>256</v>
      </c>
      <c r="C114" s="5" t="s">
        <v>257</v>
      </c>
      <c r="D114" s="5" t="s">
        <v>219</v>
      </c>
      <c r="E114" s="5" t="s">
        <v>219</v>
      </c>
      <c r="F114" s="5" t="s">
        <v>212</v>
      </c>
      <c r="G114" s="5" t="s">
        <v>213</v>
      </c>
      <c r="H114" s="5" t="str">
        <f t="shared" si="11"/>
        <v>3</v>
      </c>
      <c r="I114" s="5" t="str">
        <f t="shared" si="12"/>
        <v>32</v>
      </c>
      <c r="J114" s="8">
        <v>0</v>
      </c>
      <c r="K114" s="8">
        <v>1200</v>
      </c>
      <c r="L114" s="8">
        <v>1000</v>
      </c>
      <c r="M114" s="6">
        <f t="shared" si="13"/>
        <v>1000</v>
      </c>
      <c r="N114" s="6">
        <f t="shared" si="13"/>
        <v>1000</v>
      </c>
    </row>
    <row r="115" spans="1:14" x14ac:dyDescent="0.25">
      <c r="A115" s="5" t="s">
        <v>216</v>
      </c>
      <c r="B115" s="5" t="s">
        <v>256</v>
      </c>
      <c r="C115" s="5" t="s">
        <v>257</v>
      </c>
      <c r="D115" s="5" t="s">
        <v>219</v>
      </c>
      <c r="E115" s="5" t="s">
        <v>219</v>
      </c>
      <c r="F115" s="5" t="s">
        <v>155</v>
      </c>
      <c r="G115" s="5" t="s">
        <v>156</v>
      </c>
      <c r="H115" s="5" t="str">
        <f t="shared" si="11"/>
        <v>3</v>
      </c>
      <c r="I115" s="5" t="str">
        <f t="shared" si="12"/>
        <v>32</v>
      </c>
      <c r="J115" s="8">
        <v>0</v>
      </c>
      <c r="K115" s="8">
        <v>1200</v>
      </c>
      <c r="L115" s="8">
        <v>1200</v>
      </c>
      <c r="M115" s="6">
        <f t="shared" si="13"/>
        <v>1200</v>
      </c>
      <c r="N115" s="6">
        <f t="shared" si="13"/>
        <v>1200</v>
      </c>
    </row>
    <row r="116" spans="1:14" x14ac:dyDescent="0.25">
      <c r="A116" s="5" t="s">
        <v>216</v>
      </c>
      <c r="B116" s="5" t="s">
        <v>256</v>
      </c>
      <c r="C116" s="5" t="s">
        <v>257</v>
      </c>
      <c r="D116" s="5" t="s">
        <v>259</v>
      </c>
      <c r="E116" s="5" t="s">
        <v>260</v>
      </c>
      <c r="F116" s="5" t="s">
        <v>112</v>
      </c>
      <c r="G116" s="5" t="s">
        <v>191</v>
      </c>
      <c r="H116" s="5" t="str">
        <f t="shared" si="11"/>
        <v>3</v>
      </c>
      <c r="I116" s="5" t="str">
        <f t="shared" si="12"/>
        <v>31</v>
      </c>
      <c r="J116" s="8">
        <v>24137</v>
      </c>
      <c r="K116" s="8">
        <v>0</v>
      </c>
      <c r="L116" s="8">
        <v>0</v>
      </c>
      <c r="M116" s="6">
        <f t="shared" si="13"/>
        <v>0</v>
      </c>
      <c r="N116" s="6">
        <f t="shared" si="13"/>
        <v>0</v>
      </c>
    </row>
    <row r="117" spans="1:14" x14ac:dyDescent="0.25">
      <c r="A117" s="5" t="s">
        <v>216</v>
      </c>
      <c r="B117" s="5" t="s">
        <v>256</v>
      </c>
      <c r="C117" s="5" t="s">
        <v>257</v>
      </c>
      <c r="D117" s="5" t="s">
        <v>259</v>
      </c>
      <c r="E117" s="5" t="s">
        <v>260</v>
      </c>
      <c r="F117" s="5" t="s">
        <v>192</v>
      </c>
      <c r="G117" s="5" t="s">
        <v>193</v>
      </c>
      <c r="H117" s="5" t="str">
        <f t="shared" si="11"/>
        <v>3</v>
      </c>
      <c r="I117" s="5" t="str">
        <f t="shared" si="12"/>
        <v>31</v>
      </c>
      <c r="J117" s="8">
        <v>0</v>
      </c>
      <c r="K117" s="8">
        <v>22200</v>
      </c>
      <c r="L117" s="8">
        <v>21000</v>
      </c>
      <c r="M117" s="6">
        <f t="shared" si="13"/>
        <v>21000</v>
      </c>
      <c r="N117" s="6">
        <f t="shared" si="13"/>
        <v>21000</v>
      </c>
    </row>
    <row r="118" spans="1:14" x14ac:dyDescent="0.25">
      <c r="A118" s="5" t="s">
        <v>216</v>
      </c>
      <c r="B118" s="5" t="s">
        <v>256</v>
      </c>
      <c r="C118" s="5" t="s">
        <v>257</v>
      </c>
      <c r="D118" s="5" t="s">
        <v>259</v>
      </c>
      <c r="E118" s="5" t="s">
        <v>260</v>
      </c>
      <c r="F118" s="5" t="s">
        <v>210</v>
      </c>
      <c r="G118" s="5" t="s">
        <v>211</v>
      </c>
      <c r="H118" s="5" t="str">
        <f t="shared" si="11"/>
        <v>3</v>
      </c>
      <c r="I118" s="5" t="str">
        <f t="shared" si="12"/>
        <v>31</v>
      </c>
      <c r="J118" s="8">
        <v>0</v>
      </c>
      <c r="K118" s="8">
        <v>3800</v>
      </c>
      <c r="L118" s="8">
        <v>3500</v>
      </c>
      <c r="M118" s="6">
        <f t="shared" si="13"/>
        <v>3500</v>
      </c>
      <c r="N118" s="6">
        <f t="shared" si="13"/>
        <v>3500</v>
      </c>
    </row>
    <row r="119" spans="1:14" x14ac:dyDescent="0.25">
      <c r="A119" s="5" t="s">
        <v>216</v>
      </c>
      <c r="B119" s="5" t="s">
        <v>256</v>
      </c>
      <c r="C119" s="5" t="s">
        <v>257</v>
      </c>
      <c r="D119" s="5" t="s">
        <v>259</v>
      </c>
      <c r="E119" s="5" t="s">
        <v>260</v>
      </c>
      <c r="F119" s="5" t="s">
        <v>113</v>
      </c>
      <c r="G119" s="5" t="s">
        <v>114</v>
      </c>
      <c r="H119" s="5" t="str">
        <f t="shared" si="11"/>
        <v>3</v>
      </c>
      <c r="I119" s="5" t="str">
        <f t="shared" si="12"/>
        <v>32</v>
      </c>
      <c r="J119" s="8">
        <v>1074.01</v>
      </c>
      <c r="K119" s="8">
        <v>0</v>
      </c>
      <c r="L119" s="8">
        <v>0</v>
      </c>
      <c r="M119" s="6">
        <f t="shared" si="13"/>
        <v>0</v>
      </c>
      <c r="N119" s="6">
        <f t="shared" si="13"/>
        <v>0</v>
      </c>
    </row>
    <row r="120" spans="1:14" x14ac:dyDescent="0.25">
      <c r="A120" s="5" t="s">
        <v>216</v>
      </c>
      <c r="B120" s="5" t="s">
        <v>256</v>
      </c>
      <c r="C120" s="5" t="s">
        <v>257</v>
      </c>
      <c r="D120" s="5" t="s">
        <v>259</v>
      </c>
      <c r="E120" s="5" t="s">
        <v>260</v>
      </c>
      <c r="F120" s="5" t="s">
        <v>115</v>
      </c>
      <c r="G120" s="5" t="s">
        <v>116</v>
      </c>
      <c r="H120" s="5" t="str">
        <f t="shared" si="11"/>
        <v>3</v>
      </c>
      <c r="I120" s="5" t="str">
        <f t="shared" si="12"/>
        <v>32</v>
      </c>
      <c r="J120" s="8">
        <v>0</v>
      </c>
      <c r="K120" s="8">
        <v>220</v>
      </c>
      <c r="L120" s="8">
        <v>250</v>
      </c>
      <c r="M120" s="6">
        <f t="shared" si="13"/>
        <v>250</v>
      </c>
      <c r="N120" s="6">
        <f t="shared" si="13"/>
        <v>250</v>
      </c>
    </row>
    <row r="121" spans="1:14" x14ac:dyDescent="0.25">
      <c r="A121" s="5" t="s">
        <v>216</v>
      </c>
      <c r="B121" s="5" t="s">
        <v>256</v>
      </c>
      <c r="C121" s="5" t="s">
        <v>257</v>
      </c>
      <c r="D121" s="5" t="s">
        <v>259</v>
      </c>
      <c r="E121" s="5" t="s">
        <v>260</v>
      </c>
      <c r="F121" s="5" t="s">
        <v>212</v>
      </c>
      <c r="G121" s="5" t="s">
        <v>261</v>
      </c>
      <c r="H121" s="5" t="str">
        <f t="shared" si="11"/>
        <v>3</v>
      </c>
      <c r="I121" s="5" t="str">
        <f t="shared" si="12"/>
        <v>32</v>
      </c>
      <c r="J121" s="8">
        <v>0</v>
      </c>
      <c r="K121" s="8">
        <v>1000</v>
      </c>
      <c r="L121" s="8">
        <v>1000</v>
      </c>
      <c r="M121" s="6">
        <f t="shared" si="13"/>
        <v>1000</v>
      </c>
      <c r="N121" s="6">
        <f t="shared" si="13"/>
        <v>1000</v>
      </c>
    </row>
    <row r="122" spans="1:14" x14ac:dyDescent="0.25">
      <c r="A122" s="5" t="s">
        <v>216</v>
      </c>
      <c r="B122" s="5" t="s">
        <v>262</v>
      </c>
      <c r="C122" s="5" t="s">
        <v>263</v>
      </c>
      <c r="D122" s="5" t="s">
        <v>179</v>
      </c>
      <c r="E122" s="5" t="s">
        <v>237</v>
      </c>
      <c r="F122" s="5" t="s">
        <v>229</v>
      </c>
      <c r="G122" s="5" t="s">
        <v>230</v>
      </c>
      <c r="H122" s="5" t="str">
        <f t="shared" si="11"/>
        <v>4</v>
      </c>
      <c r="I122" s="5" t="str">
        <f t="shared" si="12"/>
        <v>42</v>
      </c>
      <c r="J122" s="8">
        <v>20334.509999999998</v>
      </c>
      <c r="K122" s="8">
        <v>0</v>
      </c>
      <c r="L122" s="8">
        <v>0</v>
      </c>
      <c r="M122" s="6">
        <f t="shared" si="13"/>
        <v>0</v>
      </c>
      <c r="N122" s="6">
        <f t="shared" si="13"/>
        <v>0</v>
      </c>
    </row>
    <row r="123" spans="1:14" x14ac:dyDescent="0.25">
      <c r="A123" s="5" t="s">
        <v>216</v>
      </c>
      <c r="B123" s="5" t="s">
        <v>262</v>
      </c>
      <c r="C123" s="5" t="s">
        <v>263</v>
      </c>
      <c r="D123" s="5" t="s">
        <v>179</v>
      </c>
      <c r="E123" s="5" t="s">
        <v>237</v>
      </c>
      <c r="F123" s="5" t="s">
        <v>235</v>
      </c>
      <c r="G123" s="5" t="s">
        <v>236</v>
      </c>
      <c r="H123" s="5" t="str">
        <f t="shared" si="11"/>
        <v>4</v>
      </c>
      <c r="I123" s="5" t="str">
        <f t="shared" si="12"/>
        <v>42</v>
      </c>
      <c r="J123" s="8">
        <v>0</v>
      </c>
      <c r="K123" s="8">
        <v>21000</v>
      </c>
      <c r="L123" s="8">
        <v>22000</v>
      </c>
      <c r="M123" s="6">
        <f t="shared" si="13"/>
        <v>22000</v>
      </c>
      <c r="N123" s="6">
        <f t="shared" si="13"/>
        <v>22000</v>
      </c>
    </row>
    <row r="124" spans="1:14" x14ac:dyDescent="0.25">
      <c r="A124" s="5" t="s">
        <v>216</v>
      </c>
      <c r="B124" s="5" t="s">
        <v>264</v>
      </c>
      <c r="C124" s="5" t="s">
        <v>265</v>
      </c>
      <c r="D124" s="5" t="s">
        <v>266</v>
      </c>
      <c r="E124" s="5" t="s">
        <v>229</v>
      </c>
      <c r="F124" s="5" t="s">
        <v>113</v>
      </c>
      <c r="G124" s="5" t="s">
        <v>114</v>
      </c>
      <c r="H124" s="5" t="str">
        <f t="shared" si="11"/>
        <v>3</v>
      </c>
      <c r="I124" s="5" t="str">
        <f t="shared" si="12"/>
        <v>32</v>
      </c>
      <c r="J124" s="8">
        <v>120</v>
      </c>
      <c r="K124" s="8">
        <v>0</v>
      </c>
      <c r="L124" s="8">
        <v>0</v>
      </c>
      <c r="M124" s="6">
        <f t="shared" ref="M124:N139" si="14">L124</f>
        <v>0</v>
      </c>
      <c r="N124" s="6">
        <f t="shared" si="14"/>
        <v>0</v>
      </c>
    </row>
    <row r="125" spans="1:14" x14ac:dyDescent="0.25">
      <c r="A125" s="5" t="s">
        <v>216</v>
      </c>
      <c r="B125" s="5" t="s">
        <v>264</v>
      </c>
      <c r="C125" s="5" t="s">
        <v>265</v>
      </c>
      <c r="D125" s="5" t="s">
        <v>266</v>
      </c>
      <c r="E125" s="5" t="s">
        <v>260</v>
      </c>
      <c r="F125" s="5" t="s">
        <v>113</v>
      </c>
      <c r="G125" s="5" t="s">
        <v>114</v>
      </c>
      <c r="H125" s="5" t="str">
        <f t="shared" si="11"/>
        <v>3</v>
      </c>
      <c r="I125" s="5" t="str">
        <f t="shared" si="12"/>
        <v>32</v>
      </c>
      <c r="J125" s="8">
        <v>1700</v>
      </c>
      <c r="K125" s="8">
        <v>0</v>
      </c>
      <c r="L125" s="8">
        <v>0</v>
      </c>
      <c r="M125" s="6">
        <f t="shared" si="14"/>
        <v>0</v>
      </c>
      <c r="N125" s="6">
        <f t="shared" si="14"/>
        <v>0</v>
      </c>
    </row>
    <row r="126" spans="1:14" x14ac:dyDescent="0.25">
      <c r="A126" s="5" t="s">
        <v>216</v>
      </c>
      <c r="B126" s="5" t="s">
        <v>264</v>
      </c>
      <c r="C126" s="5" t="s">
        <v>265</v>
      </c>
      <c r="D126" s="5" t="s">
        <v>266</v>
      </c>
      <c r="E126" s="5" t="s">
        <v>229</v>
      </c>
      <c r="F126" s="5" t="s">
        <v>267</v>
      </c>
      <c r="G126" s="5" t="s">
        <v>268</v>
      </c>
      <c r="H126" s="5" t="str">
        <f t="shared" si="11"/>
        <v>3</v>
      </c>
      <c r="I126" s="5" t="str">
        <f t="shared" si="12"/>
        <v>32</v>
      </c>
      <c r="J126" s="8">
        <v>0</v>
      </c>
      <c r="K126" s="8">
        <v>150</v>
      </c>
      <c r="L126" s="8">
        <v>2000</v>
      </c>
      <c r="M126" s="6">
        <f t="shared" si="14"/>
        <v>2000</v>
      </c>
      <c r="N126" s="6">
        <f t="shared" si="14"/>
        <v>2000</v>
      </c>
    </row>
    <row r="127" spans="1:14" x14ac:dyDescent="0.25">
      <c r="A127" s="5" t="s">
        <v>216</v>
      </c>
      <c r="B127" s="5" t="s">
        <v>264</v>
      </c>
      <c r="C127" s="5" t="s">
        <v>265</v>
      </c>
      <c r="D127" s="5" t="s">
        <v>266</v>
      </c>
      <c r="E127" s="5" t="s">
        <v>260</v>
      </c>
      <c r="F127" s="5" t="s">
        <v>267</v>
      </c>
      <c r="G127" s="5" t="s">
        <v>268</v>
      </c>
      <c r="H127" s="5" t="str">
        <f t="shared" si="11"/>
        <v>3</v>
      </c>
      <c r="I127" s="5" t="str">
        <f t="shared" si="12"/>
        <v>32</v>
      </c>
      <c r="J127" s="8">
        <v>0</v>
      </c>
      <c r="K127" s="8">
        <v>1850</v>
      </c>
      <c r="L127" s="8">
        <v>0</v>
      </c>
      <c r="M127" s="6">
        <f t="shared" si="14"/>
        <v>0</v>
      </c>
      <c r="N127" s="6">
        <f t="shared" si="14"/>
        <v>0</v>
      </c>
    </row>
    <row r="128" spans="1:14" x14ac:dyDescent="0.25">
      <c r="A128" s="5" t="s">
        <v>216</v>
      </c>
      <c r="B128" s="5" t="s">
        <v>269</v>
      </c>
      <c r="C128" s="5" t="s">
        <v>270</v>
      </c>
      <c r="D128" s="5" t="s">
        <v>219</v>
      </c>
      <c r="E128" s="5" t="s">
        <v>219</v>
      </c>
      <c r="F128" s="5" t="s">
        <v>112</v>
      </c>
      <c r="G128" s="5" t="s">
        <v>191</v>
      </c>
      <c r="H128" s="5" t="str">
        <f t="shared" si="11"/>
        <v>3</v>
      </c>
      <c r="I128" s="5" t="str">
        <f t="shared" si="12"/>
        <v>31</v>
      </c>
      <c r="J128" s="8">
        <v>5074.0600000000004</v>
      </c>
      <c r="K128" s="8">
        <v>0</v>
      </c>
      <c r="L128" s="8">
        <v>0</v>
      </c>
      <c r="M128" s="6">
        <f t="shared" si="14"/>
        <v>0</v>
      </c>
      <c r="N128" s="6">
        <f t="shared" si="14"/>
        <v>0</v>
      </c>
    </row>
    <row r="129" spans="1:14" x14ac:dyDescent="0.25">
      <c r="A129" s="5" t="s">
        <v>216</v>
      </c>
      <c r="B129" s="5" t="s">
        <v>269</v>
      </c>
      <c r="C129" s="5" t="s">
        <v>270</v>
      </c>
      <c r="D129" s="5" t="s">
        <v>219</v>
      </c>
      <c r="E129" s="5" t="s">
        <v>219</v>
      </c>
      <c r="F129" s="5" t="s">
        <v>113</v>
      </c>
      <c r="G129" s="5" t="s">
        <v>114</v>
      </c>
      <c r="H129" s="5" t="str">
        <f t="shared" si="11"/>
        <v>3</v>
      </c>
      <c r="I129" s="5" t="str">
        <f t="shared" si="12"/>
        <v>32</v>
      </c>
      <c r="J129" s="8">
        <v>2806.63</v>
      </c>
      <c r="K129" s="8">
        <v>0</v>
      </c>
      <c r="L129" s="8">
        <v>0</v>
      </c>
      <c r="M129" s="6">
        <f t="shared" si="14"/>
        <v>0</v>
      </c>
      <c r="N129" s="6">
        <f t="shared" si="14"/>
        <v>0</v>
      </c>
    </row>
    <row r="130" spans="1:14" x14ac:dyDescent="0.25">
      <c r="A130" s="5" t="s">
        <v>216</v>
      </c>
      <c r="B130" s="5" t="s">
        <v>269</v>
      </c>
      <c r="C130" s="5" t="s">
        <v>270</v>
      </c>
      <c r="D130" s="5" t="s">
        <v>219</v>
      </c>
      <c r="E130" s="5" t="s">
        <v>219</v>
      </c>
      <c r="F130" s="5" t="s">
        <v>224</v>
      </c>
      <c r="G130" s="5" t="s">
        <v>225</v>
      </c>
      <c r="H130" s="5" t="str">
        <f t="shared" si="11"/>
        <v>3</v>
      </c>
      <c r="I130" s="5" t="str">
        <f t="shared" si="12"/>
        <v>37</v>
      </c>
      <c r="J130" s="8">
        <v>1800</v>
      </c>
      <c r="K130" s="8">
        <v>0</v>
      </c>
      <c r="L130" s="8">
        <v>0</v>
      </c>
      <c r="M130" s="6">
        <f t="shared" si="14"/>
        <v>0</v>
      </c>
      <c r="N130" s="6">
        <f t="shared" si="14"/>
        <v>0</v>
      </c>
    </row>
    <row r="131" spans="1:14" x14ac:dyDescent="0.25">
      <c r="A131" s="5" t="s">
        <v>216</v>
      </c>
      <c r="B131" s="5" t="s">
        <v>269</v>
      </c>
      <c r="C131" s="5" t="s">
        <v>270</v>
      </c>
      <c r="D131" s="5" t="s">
        <v>219</v>
      </c>
      <c r="E131" s="5"/>
      <c r="F131" s="5" t="s">
        <v>248</v>
      </c>
      <c r="G131" s="5" t="s">
        <v>249</v>
      </c>
      <c r="H131" s="5" t="str">
        <f t="shared" si="11"/>
        <v>3</v>
      </c>
      <c r="I131" s="5" t="str">
        <f t="shared" si="12"/>
        <v>37</v>
      </c>
      <c r="J131" s="8">
        <v>0</v>
      </c>
      <c r="K131" s="8">
        <v>0</v>
      </c>
      <c r="L131" s="8">
        <v>17000</v>
      </c>
      <c r="M131" s="6">
        <f t="shared" si="14"/>
        <v>17000</v>
      </c>
      <c r="N131" s="6">
        <f t="shared" si="14"/>
        <v>17000</v>
      </c>
    </row>
    <row r="132" spans="1:14" x14ac:dyDescent="0.25">
      <c r="A132" s="5" t="s">
        <v>216</v>
      </c>
      <c r="B132" s="5" t="s">
        <v>269</v>
      </c>
      <c r="C132" s="5" t="s">
        <v>270</v>
      </c>
      <c r="D132" s="5" t="s">
        <v>219</v>
      </c>
      <c r="E132" s="5" t="s">
        <v>219</v>
      </c>
      <c r="F132" s="5" t="s">
        <v>229</v>
      </c>
      <c r="G132" s="5" t="s">
        <v>230</v>
      </c>
      <c r="H132" s="5" t="str">
        <f t="shared" ref="H132:H140" si="15">LEFT(F132,1)</f>
        <v>4</v>
      </c>
      <c r="I132" s="5" t="str">
        <f t="shared" ref="I132:I140" si="16">LEFT(F132,2)</f>
        <v>42</v>
      </c>
      <c r="J132" s="8">
        <v>9600</v>
      </c>
      <c r="K132" s="8">
        <v>0</v>
      </c>
      <c r="L132" s="8">
        <v>0</v>
      </c>
      <c r="M132" s="6">
        <f t="shared" si="14"/>
        <v>0</v>
      </c>
      <c r="N132" s="6">
        <f t="shared" si="14"/>
        <v>0</v>
      </c>
    </row>
    <row r="133" spans="1:14" x14ac:dyDescent="0.25">
      <c r="A133" s="5" t="s">
        <v>216</v>
      </c>
      <c r="B133" s="5" t="s">
        <v>269</v>
      </c>
      <c r="C133" s="5" t="s">
        <v>270</v>
      </c>
      <c r="D133" s="5" t="s">
        <v>179</v>
      </c>
      <c r="E133" s="5" t="s">
        <v>237</v>
      </c>
      <c r="F133" s="5" t="s">
        <v>113</v>
      </c>
      <c r="G133" s="5" t="s">
        <v>114</v>
      </c>
      <c r="H133" s="5" t="str">
        <f t="shared" si="15"/>
        <v>3</v>
      </c>
      <c r="I133" s="5" t="str">
        <f t="shared" si="16"/>
        <v>32</v>
      </c>
      <c r="J133" s="8">
        <v>57407.34</v>
      </c>
      <c r="K133" s="8">
        <v>0</v>
      </c>
      <c r="L133" s="8">
        <v>0</v>
      </c>
      <c r="M133" s="6">
        <f t="shared" si="14"/>
        <v>0</v>
      </c>
      <c r="N133" s="6">
        <f t="shared" si="14"/>
        <v>0</v>
      </c>
    </row>
    <row r="134" spans="1:14" x14ac:dyDescent="0.25">
      <c r="A134" s="5" t="s">
        <v>216</v>
      </c>
      <c r="B134" s="5" t="s">
        <v>269</v>
      </c>
      <c r="C134" s="5" t="s">
        <v>270</v>
      </c>
      <c r="D134" s="5" t="s">
        <v>179</v>
      </c>
      <c r="E134" s="5" t="s">
        <v>237</v>
      </c>
      <c r="F134" s="5" t="s">
        <v>267</v>
      </c>
      <c r="G134" s="5" t="s">
        <v>268</v>
      </c>
      <c r="H134" s="5" t="str">
        <f t="shared" si="15"/>
        <v>3</v>
      </c>
      <c r="I134" s="5" t="str">
        <f t="shared" si="16"/>
        <v>32</v>
      </c>
      <c r="J134" s="8">
        <v>0</v>
      </c>
      <c r="K134" s="8">
        <v>90000</v>
      </c>
      <c r="L134" s="8">
        <v>92000</v>
      </c>
      <c r="M134" s="6">
        <f t="shared" si="14"/>
        <v>92000</v>
      </c>
      <c r="N134" s="6">
        <f t="shared" si="14"/>
        <v>92000</v>
      </c>
    </row>
    <row r="135" spans="1:14" x14ac:dyDescent="0.25">
      <c r="A135" s="5" t="s">
        <v>271</v>
      </c>
      <c r="B135" s="5" t="s">
        <v>272</v>
      </c>
      <c r="C135" s="5" t="s">
        <v>273</v>
      </c>
      <c r="D135" s="5" t="s">
        <v>179</v>
      </c>
      <c r="E135" s="5" t="s">
        <v>112</v>
      </c>
      <c r="F135" s="5" t="s">
        <v>229</v>
      </c>
      <c r="G135" s="5" t="s">
        <v>230</v>
      </c>
      <c r="H135" s="5" t="str">
        <f t="shared" si="15"/>
        <v>4</v>
      </c>
      <c r="I135" s="5" t="str">
        <f t="shared" si="16"/>
        <v>42</v>
      </c>
      <c r="J135" s="8">
        <v>5970</v>
      </c>
      <c r="K135" s="8">
        <v>0</v>
      </c>
      <c r="L135" s="8">
        <v>0</v>
      </c>
      <c r="M135" s="6">
        <f t="shared" si="14"/>
        <v>0</v>
      </c>
      <c r="N135" s="6">
        <f t="shared" si="14"/>
        <v>0</v>
      </c>
    </row>
    <row r="136" spans="1:14" x14ac:dyDescent="0.25">
      <c r="A136" s="5" t="s">
        <v>271</v>
      </c>
      <c r="B136" s="5" t="s">
        <v>272</v>
      </c>
      <c r="C136" s="5" t="s">
        <v>273</v>
      </c>
      <c r="D136" s="5" t="s">
        <v>179</v>
      </c>
      <c r="E136" s="5" t="s">
        <v>112</v>
      </c>
      <c r="F136" s="5" t="s">
        <v>231</v>
      </c>
      <c r="G136" s="5" t="s">
        <v>274</v>
      </c>
      <c r="H136" s="5" t="str">
        <f t="shared" si="15"/>
        <v>4</v>
      </c>
      <c r="I136" s="5" t="str">
        <f t="shared" si="16"/>
        <v>42</v>
      </c>
      <c r="J136" s="8">
        <v>0</v>
      </c>
      <c r="K136" s="8">
        <v>1970</v>
      </c>
      <c r="L136" s="8">
        <v>2000</v>
      </c>
      <c r="M136" s="6">
        <f t="shared" si="14"/>
        <v>2000</v>
      </c>
      <c r="N136" s="6">
        <f t="shared" si="14"/>
        <v>2000</v>
      </c>
    </row>
    <row r="137" spans="1:14" x14ac:dyDescent="0.25">
      <c r="A137" s="5" t="s">
        <v>271</v>
      </c>
      <c r="B137" s="5" t="s">
        <v>272</v>
      </c>
      <c r="C137" s="5" t="s">
        <v>273</v>
      </c>
      <c r="D137" s="5" t="s">
        <v>179</v>
      </c>
      <c r="E137" s="5" t="s">
        <v>112</v>
      </c>
      <c r="F137" s="5" t="s">
        <v>233</v>
      </c>
      <c r="G137" s="5" t="s">
        <v>275</v>
      </c>
      <c r="H137" s="5" t="str">
        <f t="shared" si="15"/>
        <v>4</v>
      </c>
      <c r="I137" s="5" t="str">
        <f t="shared" si="16"/>
        <v>42</v>
      </c>
      <c r="J137" s="8">
        <v>0</v>
      </c>
      <c r="K137" s="8">
        <v>2000</v>
      </c>
      <c r="L137" s="8">
        <v>2000</v>
      </c>
      <c r="M137" s="6">
        <f t="shared" si="14"/>
        <v>2000</v>
      </c>
      <c r="N137" s="6">
        <f t="shared" si="14"/>
        <v>2000</v>
      </c>
    </row>
    <row r="138" spans="1:14" x14ac:dyDescent="0.25">
      <c r="A138" s="5" t="s">
        <v>271</v>
      </c>
      <c r="B138" s="5" t="s">
        <v>272</v>
      </c>
      <c r="C138" s="5" t="s">
        <v>273</v>
      </c>
      <c r="D138" s="5" t="s">
        <v>179</v>
      </c>
      <c r="E138" s="5"/>
      <c r="F138" s="5" t="s">
        <v>276</v>
      </c>
      <c r="G138" s="5" t="s">
        <v>277</v>
      </c>
      <c r="H138" s="5" t="str">
        <f t="shared" si="15"/>
        <v>4</v>
      </c>
      <c r="I138" s="5" t="str">
        <f t="shared" si="16"/>
        <v>42</v>
      </c>
      <c r="J138" s="8">
        <v>0</v>
      </c>
      <c r="K138" s="8">
        <v>0</v>
      </c>
      <c r="L138" s="8">
        <v>1970</v>
      </c>
      <c r="M138" s="6">
        <f t="shared" si="14"/>
        <v>1970</v>
      </c>
      <c r="N138" s="6">
        <f t="shared" si="14"/>
        <v>1970</v>
      </c>
    </row>
    <row r="139" spans="1:14" x14ac:dyDescent="0.25">
      <c r="A139" s="5" t="s">
        <v>271</v>
      </c>
      <c r="B139" s="5" t="s">
        <v>272</v>
      </c>
      <c r="C139" s="5" t="s">
        <v>273</v>
      </c>
      <c r="D139" s="5" t="s">
        <v>179</v>
      </c>
      <c r="E139" s="5" t="s">
        <v>112</v>
      </c>
      <c r="F139" s="5" t="s">
        <v>235</v>
      </c>
      <c r="G139" s="5" t="s">
        <v>236</v>
      </c>
      <c r="H139" s="5" t="str">
        <f t="shared" si="15"/>
        <v>4</v>
      </c>
      <c r="I139" s="5" t="str">
        <f t="shared" si="16"/>
        <v>42</v>
      </c>
      <c r="J139" s="8">
        <v>0</v>
      </c>
      <c r="K139" s="8">
        <v>2000</v>
      </c>
      <c r="L139" s="8">
        <v>0</v>
      </c>
      <c r="M139" s="6">
        <f t="shared" si="14"/>
        <v>0</v>
      </c>
      <c r="N139" s="6">
        <f t="shared" si="14"/>
        <v>0</v>
      </c>
    </row>
    <row r="140" spans="1:14" x14ac:dyDescent="0.25">
      <c r="A140" s="5" t="s">
        <v>278</v>
      </c>
      <c r="B140" s="5" t="s">
        <v>278</v>
      </c>
      <c r="C140" s="5" t="s">
        <v>279</v>
      </c>
      <c r="D140" s="5" t="s">
        <v>219</v>
      </c>
      <c r="E140" s="5" t="s">
        <v>219</v>
      </c>
      <c r="F140" s="5" t="s">
        <v>280</v>
      </c>
      <c r="G140" s="5" t="s">
        <v>281</v>
      </c>
      <c r="H140" s="5" t="str">
        <f t="shared" si="15"/>
        <v>4</v>
      </c>
      <c r="I140" s="5" t="str">
        <f t="shared" si="16"/>
        <v>42</v>
      </c>
      <c r="J140" s="8">
        <v>0</v>
      </c>
      <c r="K140" s="8">
        <v>140000</v>
      </c>
      <c r="L140" s="8">
        <v>250000</v>
      </c>
      <c r="M140" s="8">
        <v>0</v>
      </c>
      <c r="N140" s="8">
        <v>0</v>
      </c>
    </row>
    <row r="141" spans="1:14" x14ac:dyDescent="0.25">
      <c r="G141" s="21" t="s">
        <v>282</v>
      </c>
      <c r="J141" s="4">
        <f>SUM(J4:J140)</f>
        <v>1714115.99</v>
      </c>
      <c r="K141" s="4">
        <f>SUM(K4:K140)</f>
        <v>1973470</v>
      </c>
      <c r="L141" s="4">
        <f>SUM(L4:L140)</f>
        <v>2120850</v>
      </c>
      <c r="M141" s="4">
        <f>SUM(M4:M140)</f>
        <v>1870850</v>
      </c>
      <c r="N141" s="4">
        <f>SUM(N4:N140)</f>
        <v>1870850</v>
      </c>
    </row>
  </sheetData>
  <autoFilter ref="A3:N140" xr:uid="{00000000-0009-0000-0000-000007000000}"/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Prihodi i rashodi po izvorima</vt:lpstr>
      <vt:lpstr>Rashodi prema funkcijskoj kl</vt:lpstr>
      <vt:lpstr>Posebni dio</vt:lpstr>
      <vt:lpstr>Podaci 5. razina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Korisnik</cp:lastModifiedBy>
  <cp:revision>0</cp:revision>
  <cp:lastPrinted>2026-09-30T08:39:54Z</cp:lastPrinted>
  <dcterms:created xsi:type="dcterms:W3CDTF">2026-09-25T12:04:19Z</dcterms:created>
  <dcterms:modified xsi:type="dcterms:W3CDTF">2026-09-30T08:43:23Z</dcterms:modified>
  <dc:language>en-US</dc:language>
</cp:coreProperties>
</file>